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J:\My Drive\EOTU (Gking2230)\Version 3 (working)\EOTU_Master_Set_Rev3.44 (Transport)\Region 4 Atomic Scale\"/>
    </mc:Choice>
  </mc:AlternateContent>
  <xr:revisionPtr revIDLastSave="0" documentId="13_ncr:1_{934FD17F-84F2-4C88-AC7E-09ACDFF964EF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" i="1" l="1"/>
  <c r="T2" i="1"/>
  <c r="T43" i="1" s="1"/>
  <c r="R47" i="1"/>
  <c r="R46" i="1"/>
  <c r="R45" i="1"/>
  <c r="R44" i="1"/>
  <c r="R43" i="1"/>
  <c r="R38" i="1"/>
  <c r="R37" i="1"/>
  <c r="R36" i="1"/>
  <c r="R35" i="1"/>
  <c r="R30" i="1"/>
  <c r="R20" i="1"/>
  <c r="S21" i="1" s="1"/>
  <c r="R29" i="1"/>
  <c r="R28" i="1"/>
  <c r="R23" i="1"/>
  <c r="R22" i="1"/>
  <c r="R16" i="1"/>
  <c r="R13" i="1"/>
  <c r="R10" i="1"/>
  <c r="R7" i="1"/>
  <c r="T84" i="1"/>
  <c r="V2" i="1"/>
  <c r="V22" i="1" s="1"/>
  <c r="R21" i="1"/>
  <c r="R84" i="1"/>
  <c r="R72" i="1"/>
  <c r="R61" i="1"/>
  <c r="R51" i="1"/>
  <c r="R42" i="1"/>
  <c r="R34" i="1"/>
  <c r="R27" i="1"/>
  <c r="Y94" i="1"/>
  <c r="Y81" i="1"/>
  <c r="Y69" i="1"/>
  <c r="Y58" i="1"/>
  <c r="Y48" i="1"/>
  <c r="Y39" i="1"/>
  <c r="Y31" i="1"/>
  <c r="Y24" i="1"/>
  <c r="Y18" i="1"/>
  <c r="P85" i="1"/>
  <c r="T72" i="1"/>
  <c r="T61" i="1"/>
  <c r="T51" i="1"/>
  <c r="B94" i="1"/>
  <c r="F94" i="1"/>
  <c r="F93" i="1"/>
  <c r="B93" i="1"/>
  <c r="F92" i="1"/>
  <c r="B92" i="1"/>
  <c r="F91" i="1"/>
  <c r="B91" i="1"/>
  <c r="F90" i="1"/>
  <c r="B90" i="1"/>
  <c r="F89" i="1"/>
  <c r="B89" i="1"/>
  <c r="F88" i="1"/>
  <c r="B88" i="1"/>
  <c r="F87" i="1"/>
  <c r="B87" i="1"/>
  <c r="F86" i="1"/>
  <c r="B86" i="1"/>
  <c r="F85" i="1"/>
  <c r="B85" i="1"/>
  <c r="P84" i="1"/>
  <c r="F84" i="1"/>
  <c r="B84" i="1"/>
  <c r="R83" i="1"/>
  <c r="S84" i="1" s="1"/>
  <c r="F83" i="1"/>
  <c r="B83" i="1"/>
  <c r="B81" i="1"/>
  <c r="F81" i="1"/>
  <c r="F80" i="1"/>
  <c r="B80" i="1"/>
  <c r="F79" i="1"/>
  <c r="B79" i="1"/>
  <c r="F78" i="1"/>
  <c r="B78" i="1"/>
  <c r="F77" i="1"/>
  <c r="B77" i="1"/>
  <c r="F76" i="1"/>
  <c r="B76" i="1"/>
  <c r="F75" i="1"/>
  <c r="B75" i="1"/>
  <c r="F74" i="1"/>
  <c r="B74" i="1"/>
  <c r="F73" i="1"/>
  <c r="B73" i="1"/>
  <c r="P72" i="1"/>
  <c r="F72" i="1"/>
  <c r="B72" i="1"/>
  <c r="R71" i="1"/>
  <c r="S72" i="1" s="1"/>
  <c r="F71" i="1"/>
  <c r="B71" i="1"/>
  <c r="B69" i="1"/>
  <c r="F69" i="1"/>
  <c r="B58" i="1"/>
  <c r="F58" i="1"/>
  <c r="B48" i="1"/>
  <c r="F48" i="1"/>
  <c r="R6" i="1"/>
  <c r="S13" i="1"/>
  <c r="S10" i="1"/>
  <c r="R15" i="1"/>
  <c r="R60" i="1"/>
  <c r="S61" i="1" s="1"/>
  <c r="R50" i="1"/>
  <c r="S51" i="1" s="1"/>
  <c r="R41" i="1"/>
  <c r="S42" i="1" s="1"/>
  <c r="R33" i="1"/>
  <c r="S34" i="1" s="1"/>
  <c r="R26" i="1"/>
  <c r="S27" i="1" s="1"/>
  <c r="B39" i="1"/>
  <c r="F39" i="1"/>
  <c r="B31" i="1"/>
  <c r="F31" i="1"/>
  <c r="B28" i="1"/>
  <c r="B29" i="1"/>
  <c r="B30" i="1"/>
  <c r="F24" i="1"/>
  <c r="B24" i="1"/>
  <c r="P61" i="1"/>
  <c r="P51" i="1"/>
  <c r="B17" i="1"/>
  <c r="F17" i="1"/>
  <c r="F61" i="1"/>
  <c r="F62" i="1"/>
  <c r="F63" i="1"/>
  <c r="F64" i="1"/>
  <c r="F65" i="1"/>
  <c r="F66" i="1"/>
  <c r="F67" i="1"/>
  <c r="F68" i="1"/>
  <c r="F60" i="1"/>
  <c r="F51" i="1"/>
  <c r="F52" i="1"/>
  <c r="F53" i="1"/>
  <c r="F54" i="1"/>
  <c r="F55" i="1"/>
  <c r="F56" i="1"/>
  <c r="F57" i="1"/>
  <c r="F50" i="1"/>
  <c r="F42" i="1"/>
  <c r="F43" i="1"/>
  <c r="F44" i="1"/>
  <c r="F45" i="1"/>
  <c r="F46" i="1"/>
  <c r="F47" i="1"/>
  <c r="F41" i="1"/>
  <c r="F34" i="1"/>
  <c r="F35" i="1"/>
  <c r="F36" i="1"/>
  <c r="F37" i="1"/>
  <c r="F38" i="1"/>
  <c r="F33" i="1"/>
  <c r="F27" i="1"/>
  <c r="F28" i="1"/>
  <c r="F29" i="1"/>
  <c r="F30" i="1"/>
  <c r="F26" i="1"/>
  <c r="F23" i="1"/>
  <c r="F21" i="1"/>
  <c r="F22" i="1"/>
  <c r="F20" i="1"/>
  <c r="F18" i="1"/>
  <c r="I18" i="1" s="1"/>
  <c r="F16" i="1"/>
  <c r="I16" i="1" s="1"/>
  <c r="F15" i="1"/>
  <c r="I15" i="1" s="1"/>
  <c r="F13" i="1"/>
  <c r="F12" i="1"/>
  <c r="F10" i="1"/>
  <c r="F9" i="1"/>
  <c r="B68" i="1"/>
  <c r="B67" i="1"/>
  <c r="B66" i="1"/>
  <c r="B65" i="1"/>
  <c r="B64" i="1"/>
  <c r="B63" i="1"/>
  <c r="B62" i="1"/>
  <c r="B61" i="1"/>
  <c r="B60" i="1"/>
  <c r="B57" i="1"/>
  <c r="B56" i="1"/>
  <c r="B55" i="1"/>
  <c r="B54" i="1"/>
  <c r="B53" i="1"/>
  <c r="B52" i="1"/>
  <c r="B51" i="1"/>
  <c r="B50" i="1"/>
  <c r="B47" i="1"/>
  <c r="B46" i="1"/>
  <c r="B45" i="1"/>
  <c r="B44" i="1"/>
  <c r="B43" i="1"/>
  <c r="B42" i="1"/>
  <c r="B41" i="1"/>
  <c r="B16" i="1"/>
  <c r="B18" i="1"/>
  <c r="B34" i="1"/>
  <c r="B35" i="1"/>
  <c r="B36" i="1"/>
  <c r="B37" i="1"/>
  <c r="B38" i="1"/>
  <c r="B27" i="1"/>
  <c r="B21" i="1"/>
  <c r="B22" i="1"/>
  <c r="B23" i="1"/>
  <c r="B33" i="1"/>
  <c r="B26" i="1"/>
  <c r="B20" i="1"/>
  <c r="B15" i="1"/>
  <c r="I3" i="1"/>
  <c r="I13" i="1"/>
  <c r="I12" i="1"/>
  <c r="I10" i="1"/>
  <c r="I9" i="1"/>
  <c r="I7" i="1"/>
  <c r="F7" i="1"/>
  <c r="R91" i="1" l="1"/>
  <c r="R90" i="1"/>
  <c r="R89" i="1"/>
  <c r="R87" i="1"/>
  <c r="R88" i="1"/>
  <c r="S43" i="1"/>
  <c r="S63" i="1"/>
  <c r="S87" i="1"/>
  <c r="S22" i="1"/>
  <c r="V89" i="1"/>
  <c r="V88" i="1"/>
  <c r="V87" i="1"/>
  <c r="V86" i="1"/>
  <c r="V85" i="1"/>
  <c r="V43" i="1"/>
  <c r="V92" i="1"/>
  <c r="V91" i="1"/>
  <c r="V90" i="1"/>
  <c r="V63" i="1"/>
  <c r="T21" i="1"/>
  <c r="T75" i="1"/>
  <c r="T42" i="1"/>
  <c r="V75" i="1"/>
  <c r="V79" i="1"/>
  <c r="V78" i="1"/>
  <c r="V76" i="1"/>
  <c r="V77" i="1"/>
  <c r="V74" i="1"/>
  <c r="S86" i="1"/>
  <c r="S75" i="1"/>
  <c r="S85" i="1"/>
  <c r="S73" i="1"/>
  <c r="R75" i="1"/>
  <c r="R92" i="1"/>
  <c r="R79" i="1"/>
  <c r="R67" i="1"/>
  <c r="R56" i="1"/>
  <c r="R78" i="1"/>
  <c r="V93" i="1"/>
  <c r="V28" i="1"/>
  <c r="V35" i="1"/>
  <c r="V52" i="1"/>
  <c r="S45" i="1"/>
  <c r="S79" i="1"/>
  <c r="S76" i="1"/>
  <c r="S77" i="1"/>
  <c r="S74" i="1"/>
  <c r="S28" i="1"/>
  <c r="S35" i="1"/>
  <c r="S52" i="1"/>
  <c r="T79" i="1"/>
  <c r="T80" i="1"/>
  <c r="T16" i="1"/>
  <c r="T27" i="1"/>
  <c r="T34" i="1"/>
  <c r="T35" i="1"/>
  <c r="T52" i="1"/>
  <c r="S16" i="1"/>
  <c r="V80" i="1"/>
  <c r="V84" i="1"/>
  <c r="W84" i="1" s="1"/>
  <c r="V56" i="1"/>
  <c r="V64" i="1"/>
  <c r="V54" i="1"/>
  <c r="V29" i="1"/>
  <c r="V53" i="1"/>
  <c r="V37" i="1"/>
  <c r="V65" i="1"/>
  <c r="V62" i="1"/>
  <c r="V73" i="1"/>
  <c r="V42" i="1"/>
  <c r="V51" i="1"/>
  <c r="V17" i="1"/>
  <c r="V16" i="1"/>
  <c r="V23" i="1"/>
  <c r="V21" i="1"/>
  <c r="V27" i="1"/>
  <c r="V30" i="1"/>
  <c r="V34" i="1"/>
  <c r="V55" i="1"/>
  <c r="V44" i="1"/>
  <c r="V61" i="1"/>
  <c r="V72" i="1"/>
  <c r="V67" i="1"/>
  <c r="V66" i="1"/>
  <c r="V36" i="1"/>
  <c r="V45" i="1"/>
  <c r="V46" i="1"/>
  <c r="S64" i="1"/>
  <c r="S29" i="1"/>
  <c r="T76" i="1"/>
  <c r="T77" i="1"/>
  <c r="T78" i="1"/>
  <c r="T73" i="1"/>
  <c r="T63" i="1"/>
  <c r="T64" i="1"/>
  <c r="T65" i="1"/>
  <c r="R93" i="1"/>
  <c r="R64" i="1"/>
  <c r="R80" i="1"/>
  <c r="R68" i="1"/>
  <c r="R66" i="1"/>
  <c r="R55" i="1"/>
  <c r="R77" i="1"/>
  <c r="R57" i="1"/>
  <c r="R17" i="1"/>
  <c r="V68" i="1"/>
  <c r="V57" i="1"/>
  <c r="V47" i="1"/>
  <c r="V38" i="1"/>
  <c r="S62" i="1"/>
  <c r="S54" i="1"/>
  <c r="S53" i="1"/>
  <c r="S44" i="1"/>
  <c r="S23" i="1"/>
  <c r="S93" i="1"/>
  <c r="S92" i="1"/>
  <c r="S91" i="1"/>
  <c r="S90" i="1"/>
  <c r="S89" i="1"/>
  <c r="S88" i="1"/>
  <c r="S80" i="1"/>
  <c r="S17" i="1"/>
  <c r="S38" i="1"/>
  <c r="S37" i="1"/>
  <c r="S36" i="1"/>
  <c r="S30" i="1"/>
  <c r="S56" i="1"/>
  <c r="S78" i="1"/>
  <c r="S68" i="1"/>
  <c r="S67" i="1"/>
  <c r="S66" i="1"/>
  <c r="S65" i="1"/>
  <c r="S57" i="1"/>
  <c r="S55" i="1"/>
  <c r="S47" i="1"/>
  <c r="S46" i="1"/>
  <c r="T57" i="1"/>
  <c r="T93" i="1"/>
  <c r="T86" i="1"/>
  <c r="T87" i="1"/>
  <c r="T88" i="1"/>
  <c r="T89" i="1"/>
  <c r="T90" i="1"/>
  <c r="T85" i="1"/>
  <c r="T91" i="1"/>
  <c r="T74" i="1"/>
  <c r="T92" i="1"/>
  <c r="T66" i="1"/>
  <c r="T67" i="1"/>
  <c r="T68" i="1"/>
  <c r="T62" i="1"/>
  <c r="T53" i="1"/>
  <c r="T54" i="1"/>
  <c r="T55" i="1"/>
  <c r="T56" i="1"/>
  <c r="T45" i="1"/>
  <c r="T46" i="1"/>
  <c r="T47" i="1"/>
  <c r="T44" i="1"/>
  <c r="T36" i="1"/>
  <c r="T37" i="1"/>
  <c r="T38" i="1"/>
  <c r="T28" i="1"/>
  <c r="T29" i="1"/>
  <c r="T30" i="1"/>
  <c r="T23" i="1"/>
  <c r="T22" i="1"/>
  <c r="R86" i="1"/>
  <c r="R85" i="1"/>
  <c r="R76" i="1"/>
  <c r="R74" i="1"/>
  <c r="R73" i="1"/>
  <c r="R65" i="1"/>
  <c r="R52" i="1"/>
  <c r="R63" i="1"/>
  <c r="R62" i="1"/>
  <c r="R54" i="1"/>
  <c r="R53" i="1"/>
  <c r="T13" i="1"/>
  <c r="T10" i="1"/>
  <c r="S7" i="1"/>
  <c r="S6" i="1"/>
  <c r="W6" i="1" s="1" a="1"/>
  <c r="W6" i="1" s="1"/>
  <c r="X6" i="1" s="1"/>
  <c r="Z6" i="1" s="1"/>
  <c r="X84" i="1" l="1"/>
  <c r="Z84" i="1" s="1"/>
  <c r="W16" i="1" a="1"/>
  <c r="W16" i="1" s="1"/>
  <c r="W29" i="1"/>
  <c r="W55" i="1"/>
  <c r="W51" i="1"/>
  <c r="W72" i="1"/>
  <c r="W61" i="1"/>
  <c r="W42" i="1"/>
  <c r="W34" i="1"/>
  <c r="W67" i="1"/>
  <c r="W36" i="1"/>
  <c r="W21" i="1"/>
  <c r="W10" i="1" a="1"/>
  <c r="W10" i="1" s="1"/>
  <c r="X10" i="1" s="1"/>
  <c r="Z10" i="1" s="1"/>
  <c r="W93" i="1"/>
  <c r="W89" i="1"/>
  <c r="W88" i="1"/>
  <c r="W53" i="1"/>
  <c r="W43" i="1"/>
  <c r="W37" i="1"/>
  <c r="W80" i="1"/>
  <c r="W87" i="1"/>
  <c r="W86" i="1"/>
  <c r="W85" i="1"/>
  <c r="W79" i="1"/>
  <c r="W76" i="1"/>
  <c r="W74" i="1"/>
  <c r="W73" i="1"/>
  <c r="W45" i="1"/>
  <c r="W35" i="1"/>
  <c r="W46" i="1"/>
  <c r="W92" i="1"/>
  <c r="W91" i="1"/>
  <c r="W52" i="1"/>
  <c r="W28" i="1"/>
  <c r="W56" i="1"/>
  <c r="W63" i="1"/>
  <c r="W62" i="1"/>
  <c r="W90" i="1"/>
  <c r="W54" i="1"/>
  <c r="W78" i="1"/>
  <c r="W64" i="1"/>
  <c r="W65" i="1"/>
  <c r="W75" i="1"/>
  <c r="W17" i="1" a="1"/>
  <c r="W17" i="1" s="1"/>
  <c r="X17" i="1" s="1"/>
  <c r="W44" i="1"/>
  <c r="W68" i="1"/>
  <c r="W66" i="1"/>
  <c r="W7" i="1" a="1"/>
  <c r="W7" i="1" s="1"/>
  <c r="X7" i="1" s="1"/>
  <c r="Z7" i="1" s="1"/>
  <c r="W22" i="1"/>
  <c r="W77" i="1"/>
  <c r="W57" i="1"/>
  <c r="W47" i="1"/>
  <c r="W38" i="1"/>
  <c r="W30" i="1"/>
  <c r="W23" i="1"/>
  <c r="W13" i="1" a="1"/>
  <c r="W13" i="1" s="1"/>
  <c r="X13" i="1" s="1"/>
  <c r="Z13" i="1" s="1"/>
  <c r="W27" i="1"/>
  <c r="X16" i="1" l="1"/>
  <c r="X29" i="1"/>
  <c r="Z29" i="1" s="1"/>
  <c r="X55" i="1"/>
  <c r="Z55" i="1" s="1"/>
  <c r="X51" i="1"/>
  <c r="X72" i="1"/>
  <c r="Z72" i="1" s="1"/>
  <c r="X61" i="1"/>
  <c r="X42" i="1"/>
  <c r="X34" i="1"/>
  <c r="X67" i="1"/>
  <c r="Z67" i="1" s="1"/>
  <c r="X36" i="1"/>
  <c r="Z36" i="1" s="1"/>
  <c r="X21" i="1"/>
  <c r="Z21" i="1" s="1"/>
  <c r="X93" i="1"/>
  <c r="X89" i="1"/>
  <c r="Z89" i="1" s="1"/>
  <c r="X88" i="1"/>
  <c r="Z88" i="1" s="1"/>
  <c r="X53" i="1"/>
  <c r="Z53" i="1" s="1"/>
  <c r="X43" i="1"/>
  <c r="Z43" i="1" s="1"/>
  <c r="X37" i="1"/>
  <c r="Z37" i="1" s="1"/>
  <c r="X80" i="1"/>
  <c r="X87" i="1"/>
  <c r="Z87" i="1" s="1"/>
  <c r="X86" i="1"/>
  <c r="Z86" i="1" s="1"/>
  <c r="X85" i="1"/>
  <c r="Z85" i="1" s="1"/>
  <c r="X79" i="1"/>
  <c r="Z79" i="1" s="1"/>
  <c r="X76" i="1"/>
  <c r="Z76" i="1" s="1"/>
  <c r="X74" i="1"/>
  <c r="Z74" i="1" s="1"/>
  <c r="X73" i="1"/>
  <c r="Z73" i="1" s="1"/>
  <c r="X45" i="1"/>
  <c r="Z45" i="1" s="1"/>
  <c r="X35" i="1"/>
  <c r="Z35" i="1" s="1"/>
  <c r="X46" i="1"/>
  <c r="Z46" i="1" s="1"/>
  <c r="X92" i="1"/>
  <c r="X91" i="1"/>
  <c r="Z91" i="1" s="1"/>
  <c r="X52" i="1"/>
  <c r="Z52" i="1" s="1"/>
  <c r="X28" i="1"/>
  <c r="Z28" i="1" s="1"/>
  <c r="X56" i="1"/>
  <c r="Z56" i="1" s="1"/>
  <c r="X63" i="1"/>
  <c r="Z63" i="1" s="1"/>
  <c r="X62" i="1"/>
  <c r="Z62" i="1" s="1"/>
  <c r="X90" i="1"/>
  <c r="Z90" i="1" s="1"/>
  <c r="X54" i="1"/>
  <c r="Z54" i="1" s="1"/>
  <c r="X78" i="1"/>
  <c r="Z78" i="1" s="1"/>
  <c r="X64" i="1"/>
  <c r="Z64" i="1" s="1"/>
  <c r="X65" i="1"/>
  <c r="Z65" i="1" s="1"/>
  <c r="X75" i="1"/>
  <c r="Z75" i="1" s="1"/>
  <c r="X44" i="1"/>
  <c r="Z44" i="1" s="1"/>
  <c r="X68" i="1"/>
  <c r="Z68" i="1" s="1"/>
  <c r="X66" i="1"/>
  <c r="Z66" i="1" s="1"/>
  <c r="X22" i="1"/>
  <c r="Z22" i="1" s="1"/>
  <c r="X77" i="1"/>
  <c r="Z77" i="1" s="1"/>
  <c r="X57" i="1"/>
  <c r="X47" i="1"/>
  <c r="Z47" i="1" s="1"/>
  <c r="X38" i="1"/>
  <c r="Z38" i="1" s="1"/>
  <c r="X30" i="1"/>
  <c r="Z30" i="1" s="1"/>
  <c r="X23" i="1"/>
  <c r="X27" i="1"/>
  <c r="Z17" i="1"/>
  <c r="Z57" i="1"/>
  <c r="Z16" i="1" l="1"/>
  <c r="X18" i="1"/>
  <c r="Z51" i="1"/>
  <c r="X58" i="1"/>
  <c r="Z58" i="1" s="1"/>
  <c r="Z61" i="1"/>
  <c r="X69" i="1"/>
  <c r="Z69" i="1" s="1"/>
  <c r="Z42" i="1"/>
  <c r="X48" i="1"/>
  <c r="Z48" i="1" s="1"/>
  <c r="Z34" i="1"/>
  <c r="X39" i="1"/>
  <c r="Z39" i="1" s="1"/>
  <c r="X24" i="1"/>
  <c r="Z24" i="1" s="1"/>
  <c r="Z23" i="1"/>
  <c r="Z27" i="1"/>
  <c r="X31" i="1"/>
  <c r="Z31" i="1" s="1"/>
  <c r="Z18" i="1"/>
  <c r="Z92" i="1"/>
  <c r="X81" i="1"/>
  <c r="Z81" i="1" s="1"/>
  <c r="Z80" i="1"/>
  <c r="X94" i="1" l="1"/>
  <c r="Z94" i="1" s="1"/>
  <c r="Z9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<sst xmlns="http://schemas.openxmlformats.org/spreadsheetml/2006/main" count="275" uniqueCount="140">
  <si>
    <t>Element</t>
  </si>
  <si>
    <t>Electrons</t>
  </si>
  <si>
    <t>n</t>
  </si>
  <si>
    <t>H-2/Deteron</t>
  </si>
  <si>
    <t>H-3/Tritium</t>
  </si>
  <si>
    <t>Neutron</t>
  </si>
  <si>
    <t>2-&gt;1</t>
  </si>
  <si>
    <t>3-&gt;1</t>
  </si>
  <si>
    <t>4-&gt;1</t>
  </si>
  <si>
    <t>5-&gt;1</t>
  </si>
  <si>
    <t>m</t>
  </si>
  <si>
    <t>Helium (ionized)</t>
  </si>
  <si>
    <t>1-&gt;2 (2s)</t>
  </si>
  <si>
    <t>2-&gt;1 (2p) Axial (z)</t>
  </si>
  <si>
    <t xml:space="preserve">transition </t>
  </si>
  <si>
    <t>state type</t>
  </si>
  <si>
    <t>symmetric</t>
  </si>
  <si>
    <t>directional</t>
  </si>
  <si>
    <t>GS (1s)</t>
  </si>
  <si>
    <t>Energy Calculated
eV</t>
  </si>
  <si>
    <t>Energy Measured
eV</t>
  </si>
  <si>
    <t>Helium</t>
  </si>
  <si>
    <t>Symbol</t>
  </si>
  <si>
    <t>He</t>
  </si>
  <si>
    <t>He2+ (e-)</t>
  </si>
  <si>
    <t>He2+ (2e-)</t>
  </si>
  <si>
    <t>H/Protium</t>
  </si>
  <si>
    <t>H</t>
  </si>
  <si>
    <t>H+ (e-)</t>
  </si>
  <si>
    <t>H2+ (e-)</t>
  </si>
  <si>
    <t>D</t>
  </si>
  <si>
    <t>D2+ (e-)</t>
  </si>
  <si>
    <t>T</t>
  </si>
  <si>
    <t>T2+ (e-)</t>
  </si>
  <si>
    <t>Neutron excess</t>
  </si>
  <si>
    <t>A
Nucleon</t>
  </si>
  <si>
    <t>Z
Atomic number</t>
  </si>
  <si>
    <t xml:space="preserve">Proton
</t>
  </si>
  <si>
    <t>Anchors</t>
  </si>
  <si>
    <t>Li</t>
  </si>
  <si>
    <t>Be</t>
  </si>
  <si>
    <t>Be4+ (4e-)</t>
  </si>
  <si>
    <t>Li3+ (3e-)</t>
  </si>
  <si>
    <t>B</t>
  </si>
  <si>
    <t>Lithium</t>
  </si>
  <si>
    <t>Lithium (ionized)</t>
  </si>
  <si>
    <t>Beryllium</t>
  </si>
  <si>
    <t>Beryllium (ionized)</t>
  </si>
  <si>
    <t>Boron</t>
  </si>
  <si>
    <t>Boron (ionized)</t>
  </si>
  <si>
    <t>Hydrogen</t>
  </si>
  <si>
    <t>C</t>
  </si>
  <si>
    <t>Carbon</t>
  </si>
  <si>
    <t>Carbon (ionized)</t>
  </si>
  <si>
    <t>N</t>
  </si>
  <si>
    <t>Nitrogen</t>
  </si>
  <si>
    <t>Nitrogen (ionized)</t>
  </si>
  <si>
    <t>6-&gt;1</t>
  </si>
  <si>
    <t>7-&gt;1</t>
  </si>
  <si>
    <t>O</t>
  </si>
  <si>
    <t>O+ (e-)</t>
  </si>
  <si>
    <t>O2+ (2e-)</t>
  </si>
  <si>
    <t>O3+ (3e-)</t>
  </si>
  <si>
    <t>O4+ (4e-)</t>
  </si>
  <si>
    <t>O5+ (5e-)</t>
  </si>
  <si>
    <t>O6+ (6e-)</t>
  </si>
  <si>
    <t>Oxygen</t>
  </si>
  <si>
    <t>Oxygen (ionized)</t>
  </si>
  <si>
    <t>8-&gt;1</t>
  </si>
  <si>
    <t>N7+ (7e-)</t>
  </si>
  <si>
    <t>O7+ (7e-)</t>
  </si>
  <si>
    <t>O8+ (8e-)</t>
  </si>
  <si>
    <t>Shell 1</t>
  </si>
  <si>
    <t>Shell 2</t>
  </si>
  <si>
    <t>removed</t>
  </si>
  <si>
    <t>Li3+ (2e-)</t>
  </si>
  <si>
    <t>Li2+ (e-)</t>
  </si>
  <si>
    <t xml:space="preserve">Li+ </t>
  </si>
  <si>
    <t xml:space="preserve">He+ </t>
  </si>
  <si>
    <t>Anchor r_cell</t>
  </si>
  <si>
    <t>Lambda</t>
  </si>
  <si>
    <t>Be+</t>
  </si>
  <si>
    <t>Be2+ (1e-)</t>
  </si>
  <si>
    <t>Be3+ (2e-)</t>
  </si>
  <si>
    <t>Be4+ (3e-)</t>
  </si>
  <si>
    <t>B+</t>
  </si>
  <si>
    <t>B2+ (1e-)</t>
  </si>
  <si>
    <t>B3+ (2e-)</t>
  </si>
  <si>
    <t>B4+ (3e-)</t>
  </si>
  <si>
    <t>B5+ (4e-)</t>
  </si>
  <si>
    <t>Shell 2
r_cell</t>
  </si>
  <si>
    <t>Shell 1
r_cell</t>
  </si>
  <si>
    <t>C7+ (6e-)</t>
  </si>
  <si>
    <t>C2+ (1e-)</t>
  </si>
  <si>
    <t>C3+ (2e-)</t>
  </si>
  <si>
    <t>C4+ (3e-)</t>
  </si>
  <si>
    <t>C5+ (4e-)</t>
  </si>
  <si>
    <t>C6+ (5e-)</t>
  </si>
  <si>
    <t>C+</t>
  </si>
  <si>
    <t>B6+ (5e-)</t>
  </si>
  <si>
    <t>N+</t>
  </si>
  <si>
    <t>N2+ 1e-)</t>
  </si>
  <si>
    <t>N3+ (2e-)</t>
  </si>
  <si>
    <t>N4+ (3e-)</t>
  </si>
  <si>
    <t>N5+ (4e-)</t>
  </si>
  <si>
    <t>N7+ (6e-)</t>
  </si>
  <si>
    <t>N6+ (5e-)</t>
  </si>
  <si>
    <t>O+</t>
  </si>
  <si>
    <t>F</t>
  </si>
  <si>
    <t>F+</t>
  </si>
  <si>
    <t>F+ (e-)</t>
  </si>
  <si>
    <t>F2+ (2e-)</t>
  </si>
  <si>
    <t>F3+ (3e-)</t>
  </si>
  <si>
    <t>F4+ (4e-)</t>
  </si>
  <si>
    <t>F5+ (5e-)</t>
  </si>
  <si>
    <t>F6+ (6e-)</t>
  </si>
  <si>
    <t>F7+ (7e-)</t>
  </si>
  <si>
    <t>F8+ (8e-)</t>
  </si>
  <si>
    <t>Fluoride</t>
  </si>
  <si>
    <t>Fluoride (ionized)</t>
  </si>
  <si>
    <t>9-&gt;1</t>
  </si>
  <si>
    <t>F9+ (9e-)</t>
  </si>
  <si>
    <t>10-&gt;1</t>
  </si>
  <si>
    <t>Ne</t>
  </si>
  <si>
    <t>Ne+</t>
  </si>
  <si>
    <t>Ne+ (e-)</t>
  </si>
  <si>
    <t>Ne2+ (2e-)</t>
  </si>
  <si>
    <t>Ne3+ (3e-)</t>
  </si>
  <si>
    <t>Ne4+ (4e-)</t>
  </si>
  <si>
    <t>Ne5+ (5e-)</t>
  </si>
  <si>
    <t>Ne6+ (6e-)</t>
  </si>
  <si>
    <t>Ne7+ (7e-)</t>
  </si>
  <si>
    <t>Ne8+ (8e-)</t>
  </si>
  <si>
    <t>Ne9+ (9e-)</t>
  </si>
  <si>
    <t>Ne9+ (10e-)</t>
  </si>
  <si>
    <t>Neon</t>
  </si>
  <si>
    <t>Neon (ionized)</t>
  </si>
  <si>
    <t>Removal</t>
  </si>
  <si>
    <t>percent Error</t>
  </si>
  <si>
    <t>Added Calculated r_cell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</si>
</sst>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0.0000"/>
    <numFmt numFmtId="166" formatCode="0.000E+00"/>
    <numFmt numFmtId="167" formatCode="#,##0.000000"/>
  </numFmts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/>
    </xf>
    <xf numFmtId="166" fontId="0" fillId="0" borderId="0" xfId="0" applyNumberFormat="1" applyAlignment="1">
      <alignment horizont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0" fillId="2" borderId="0" xfId="0" applyFill="1"/>
    <xf numFmtId="1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 vertical="center"/>
    </xf>
    <xf numFmtId="167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 vertical="center" wrapText="1"/>
    </xf>
    <xf numFmtId="3" fontId="0" fillId="0" borderId="0" xfId="0" applyNumberFormat="1"/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4"/>
  <sheetViews>
    <sheetView tabSelected="1" topLeftCell="G1" zoomScaleNormal="100" workbookViewId="0">
      <pane ySplit="3" topLeftCell="A4" activePane="bottomLeft" state="frozen"/>
      <selection pane="bottomLeft" activeCell="AB6" sqref="AB6"/>
    </sheetView>
  </sheetViews>
  <sheetFormatPr defaultRowHeight="15" x14ac:dyDescent="0.25"/>
  <cols>
    <col min="1" max="1" width="8.7109375" style="1" customWidth="1"/>
    <col min="2" max="2" width="8.42578125" style="1" bestFit="1" customWidth="1"/>
    <col min="3" max="3" width="19.7109375" customWidth="1"/>
    <col min="4" max="4" width="0.85546875" style="11" customWidth="1"/>
    <col min="5" max="5" width="6.85546875" style="1" customWidth="1"/>
    <col min="6" max="6" width="8.5703125" style="1" customWidth="1"/>
    <col min="7" max="7" width="12.140625" customWidth="1"/>
    <col min="8" max="8" width="9.140625" style="1" bestFit="1" customWidth="1"/>
    <col min="9" max="9" width="8.42578125" style="1" bestFit="1" customWidth="1"/>
    <col min="10" max="10" width="16.42578125" style="1" bestFit="1" customWidth="1"/>
    <col min="11" max="11" width="12" style="1" customWidth="1"/>
    <col min="12" max="12" width="1.85546875" customWidth="1"/>
    <col min="13" max="13" width="4.42578125" style="5" customWidth="1"/>
    <col min="14" max="14" width="4" style="5" customWidth="1"/>
    <col min="15" max="15" width="10.140625" style="1" bestFit="1" customWidth="1"/>
    <col min="16" max="16" width="11.140625" style="5" bestFit="1" customWidth="1"/>
    <col min="17" max="17" width="9" style="5" bestFit="1" customWidth="1"/>
    <col min="18" max="18" width="11.7109375" style="13" customWidth="1"/>
    <col min="19" max="20" width="10.85546875" style="1" bestFit="1" customWidth="1"/>
    <col min="21" max="21" width="3.7109375" style="1" bestFit="1" customWidth="1"/>
    <col min="22" max="22" width="9.85546875" style="1" bestFit="1" customWidth="1"/>
    <col min="23" max="23" width="11.85546875" style="1" bestFit="1" customWidth="1"/>
    <col min="24" max="24" width="11.42578125" style="1" customWidth="1"/>
    <col min="25" max="25" width="12" style="1" customWidth="1"/>
    <col min="26" max="26" width="9.5703125" style="1" customWidth="1"/>
  </cols>
  <sheetData>
    <row r="1" spans="1:26" s="3" customFormat="1" ht="45" x14ac:dyDescent="0.25">
      <c r="A1" s="4" t="s">
        <v>36</v>
      </c>
      <c r="B1" s="4" t="s">
        <v>35</v>
      </c>
      <c r="C1" s="4" t="s">
        <v>0</v>
      </c>
      <c r="D1" s="10"/>
      <c r="E1" s="4" t="s">
        <v>37</v>
      </c>
      <c r="F1" s="4" t="s">
        <v>5</v>
      </c>
      <c r="G1" s="4" t="s">
        <v>22</v>
      </c>
      <c r="H1" s="4" t="s">
        <v>1</v>
      </c>
      <c r="I1" s="4" t="s">
        <v>34</v>
      </c>
      <c r="J1" s="4" t="s">
        <v>14</v>
      </c>
      <c r="K1" s="4" t="s">
        <v>15</v>
      </c>
      <c r="M1" s="4" t="s">
        <v>10</v>
      </c>
      <c r="N1" s="4" t="s">
        <v>2</v>
      </c>
      <c r="O1" s="4" t="s">
        <v>72</v>
      </c>
      <c r="P1" s="4" t="s">
        <v>73</v>
      </c>
      <c r="Q1" s="4" t="s">
        <v>74</v>
      </c>
      <c r="R1" s="15" t="s">
        <v>79</v>
      </c>
      <c r="S1" s="4" t="s">
        <v>91</v>
      </c>
      <c r="T1" s="4" t="s">
        <v>90</v>
      </c>
      <c r="U1" s="4"/>
      <c r="V1" s="4" t="s">
        <v>137</v>
      </c>
      <c r="W1" s="4" t="s">
        <v>139</v>
      </c>
      <c r="X1" s="4" t="s">
        <v>19</v>
      </c>
      <c r="Y1" s="4" t="s">
        <v>20</v>
      </c>
      <c r="Z1" s="4" t="s">
        <v>138</v>
      </c>
    </row>
    <row r="2" spans="1:26" s="3" customFormat="1" x14ac:dyDescent="0.25">
      <c r="A2" s="4" t="s">
        <v>80</v>
      </c>
      <c r="B2" s="4"/>
      <c r="C2" s="17"/>
      <c r="D2" s="10"/>
      <c r="E2" s="4">
        <v>1836</v>
      </c>
      <c r="F2" s="4"/>
      <c r="G2" s="4"/>
      <c r="H2" s="4">
        <v>816</v>
      </c>
      <c r="I2" s="4"/>
      <c r="J2" s="15"/>
      <c r="K2" s="4"/>
      <c r="M2" s="4"/>
      <c r="N2" s="4"/>
      <c r="O2" s="4"/>
      <c r="P2" s="4"/>
      <c r="Q2" s="4"/>
      <c r="S2" s="7">
        <f>-$E$2*$H$2</f>
        <v>-1498176</v>
      </c>
      <c r="T2" s="7">
        <f>$E$2*$H$2</f>
        <v>1498176</v>
      </c>
      <c r="U2" s="7"/>
      <c r="V2" s="7">
        <f>$E$2*$H$2</f>
        <v>1498176</v>
      </c>
      <c r="W2" s="4"/>
      <c r="X2" s="4"/>
      <c r="Y2" s="4"/>
      <c r="Z2" s="4"/>
    </row>
    <row r="3" spans="1:26" x14ac:dyDescent="0.25">
      <c r="A3" s="1" t="s">
        <v>38</v>
      </c>
      <c r="C3" s="18"/>
      <c r="E3" s="1">
        <v>288</v>
      </c>
      <c r="H3" s="1">
        <v>128</v>
      </c>
      <c r="I3" s="12">
        <f>16038/64</f>
        <v>250.59375</v>
      </c>
      <c r="O3" s="7"/>
      <c r="R3" s="7">
        <v>29447705.851</v>
      </c>
      <c r="S3" s="7">
        <v>29447705.851</v>
      </c>
      <c r="T3" s="16"/>
      <c r="V3" s="7"/>
      <c r="W3" s="7"/>
      <c r="X3" s="2">
        <v>400442684.45999998</v>
      </c>
    </row>
    <row r="4" spans="1:26" x14ac:dyDescent="0.25">
      <c r="S4" s="14"/>
      <c r="T4" s="14"/>
      <c r="U4" s="14"/>
      <c r="V4" s="14"/>
      <c r="W4" s="14"/>
    </row>
    <row r="5" spans="1:26" x14ac:dyDescent="0.25">
      <c r="A5" s="1">
        <v>1</v>
      </c>
      <c r="B5" s="1">
        <v>1</v>
      </c>
      <c r="C5" t="s">
        <v>26</v>
      </c>
      <c r="E5" s="1">
        <v>1</v>
      </c>
      <c r="F5" s="1">
        <v>0</v>
      </c>
      <c r="G5" t="s">
        <v>27</v>
      </c>
      <c r="H5" s="1">
        <v>0</v>
      </c>
      <c r="I5" s="1">
        <v>0</v>
      </c>
      <c r="J5" s="5" t="s">
        <v>18</v>
      </c>
      <c r="K5" s="5"/>
      <c r="M5" s="5">
        <v>1</v>
      </c>
      <c r="N5" s="5">
        <v>1</v>
      </c>
      <c r="O5" s="5">
        <v>1</v>
      </c>
      <c r="S5" s="7"/>
      <c r="T5" s="7"/>
      <c r="U5" s="7"/>
      <c r="V5" s="7"/>
      <c r="W5" s="7"/>
      <c r="X5" s="8"/>
      <c r="Y5" s="8"/>
    </row>
    <row r="6" spans="1:26" x14ac:dyDescent="0.25">
      <c r="A6" s="1">
        <v>1</v>
      </c>
      <c r="B6" s="1">
        <v>1</v>
      </c>
      <c r="C6" t="s">
        <v>26</v>
      </c>
      <c r="E6" s="1">
        <v>1</v>
      </c>
      <c r="F6" s="1">
        <v>0</v>
      </c>
      <c r="G6" t="s">
        <v>28</v>
      </c>
      <c r="H6" s="1">
        <v>1</v>
      </c>
      <c r="I6" s="1">
        <v>0</v>
      </c>
      <c r="J6" s="5" t="s">
        <v>12</v>
      </c>
      <c r="K6" s="5" t="s">
        <v>16</v>
      </c>
      <c r="M6" s="5">
        <v>1</v>
      </c>
      <c r="N6" s="5">
        <v>2</v>
      </c>
      <c r="O6" s="5">
        <v>1</v>
      </c>
      <c r="P6" s="5">
        <v>0</v>
      </c>
      <c r="Q6" s="5">
        <v>0</v>
      </c>
      <c r="R6" s="13">
        <f>$R$3</f>
        <v>29447705.851</v>
      </c>
      <c r="S6" s="7">
        <f>I6*64*(A6/B6)*$I$3</f>
        <v>0</v>
      </c>
      <c r="T6" s="7"/>
      <c r="U6" s="7"/>
      <c r="V6" s="7"/>
      <c r="W6" s="7" cm="1">
        <f t="array" ref="W6">SUM(R6:T6+V6)</f>
        <v>29447705.851</v>
      </c>
      <c r="X6" s="8">
        <f>$X$3/W6</f>
        <v>13.598433999788188</v>
      </c>
      <c r="Y6" s="8">
        <v>13.598433999788188</v>
      </c>
      <c r="Z6" s="8">
        <f>(X6-Y6)/Y6*100</f>
        <v>0</v>
      </c>
    </row>
    <row r="7" spans="1:26" x14ac:dyDescent="0.25">
      <c r="A7" s="1">
        <v>1</v>
      </c>
      <c r="B7" s="1">
        <v>1</v>
      </c>
      <c r="C7" t="s">
        <v>26</v>
      </c>
      <c r="E7" s="1">
        <v>1</v>
      </c>
      <c r="F7" s="1">
        <f>(B7-A7)</f>
        <v>0</v>
      </c>
      <c r="G7" t="s">
        <v>29</v>
      </c>
      <c r="H7" s="1">
        <v>1</v>
      </c>
      <c r="I7" s="1">
        <f>A7-B7</f>
        <v>0</v>
      </c>
      <c r="J7" s="5" t="s">
        <v>13</v>
      </c>
      <c r="K7" s="5" t="s">
        <v>17</v>
      </c>
      <c r="M7" s="5">
        <v>1</v>
      </c>
      <c r="N7" s="5">
        <v>2</v>
      </c>
      <c r="O7" s="5">
        <v>0</v>
      </c>
      <c r="P7" s="5">
        <v>1</v>
      </c>
      <c r="Q7" s="5">
        <v>0</v>
      </c>
      <c r="R7" s="13">
        <f>$R$3/E7^2</f>
        <v>29447705.851</v>
      </c>
      <c r="S7" s="7">
        <f>$I7*64*(A7/B7)*$I$3</f>
        <v>0</v>
      </c>
      <c r="T7" s="7"/>
      <c r="U7" s="7"/>
      <c r="V7" s="7"/>
      <c r="W7" s="7" cm="1">
        <f t="array" ref="W7">SUM(R7:T7+V7)</f>
        <v>29447705.851</v>
      </c>
      <c r="X7" s="8">
        <f>$X$3/W7</f>
        <v>13.598433999788188</v>
      </c>
      <c r="Y7" s="8">
        <v>13.598433999788188</v>
      </c>
      <c r="Z7" s="8">
        <f>(X7-Y7)/Y7*100</f>
        <v>0</v>
      </c>
    </row>
    <row r="8" spans="1:26" x14ac:dyDescent="0.25">
      <c r="J8" s="5"/>
      <c r="K8" s="5"/>
      <c r="O8" s="5"/>
      <c r="S8" s="7"/>
      <c r="T8" s="7"/>
      <c r="U8" s="7"/>
      <c r="V8" s="7"/>
      <c r="W8" s="7"/>
      <c r="X8" s="8"/>
      <c r="Y8" s="8"/>
      <c r="Z8" s="8"/>
    </row>
    <row r="9" spans="1:26" x14ac:dyDescent="0.25">
      <c r="A9" s="1">
        <v>1</v>
      </c>
      <c r="B9" s="1">
        <v>2</v>
      </c>
      <c r="C9" t="s">
        <v>3</v>
      </c>
      <c r="E9" s="1">
        <v>1</v>
      </c>
      <c r="F9" s="1">
        <f>E9</f>
        <v>1</v>
      </c>
      <c r="G9" t="s">
        <v>30</v>
      </c>
      <c r="H9" s="1">
        <v>1</v>
      </c>
      <c r="I9" s="1">
        <f>B9-A9</f>
        <v>1</v>
      </c>
      <c r="J9" s="5" t="s">
        <v>18</v>
      </c>
      <c r="K9" s="5"/>
      <c r="M9" s="5">
        <v>1</v>
      </c>
      <c r="N9" s="5">
        <v>1</v>
      </c>
      <c r="O9" s="5">
        <v>1</v>
      </c>
      <c r="P9" s="5">
        <v>0</v>
      </c>
      <c r="Q9" s="5">
        <v>0</v>
      </c>
      <c r="S9" s="7"/>
      <c r="T9" s="7"/>
      <c r="U9" s="7"/>
      <c r="V9" s="7"/>
      <c r="W9" s="7"/>
      <c r="X9" s="8"/>
      <c r="Y9" s="8"/>
    </row>
    <row r="10" spans="1:26" x14ac:dyDescent="0.25">
      <c r="A10" s="1">
        <v>1</v>
      </c>
      <c r="B10" s="1">
        <v>2</v>
      </c>
      <c r="C10" t="s">
        <v>3</v>
      </c>
      <c r="E10" s="1">
        <v>1</v>
      </c>
      <c r="F10" s="1">
        <f>E10</f>
        <v>1</v>
      </c>
      <c r="G10" t="s">
        <v>31</v>
      </c>
      <c r="H10" s="1">
        <v>1</v>
      </c>
      <c r="I10" s="1">
        <f>B10-A10</f>
        <v>1</v>
      </c>
      <c r="J10" s="5" t="s">
        <v>12</v>
      </c>
      <c r="K10" s="5" t="s">
        <v>50</v>
      </c>
      <c r="M10" s="5">
        <v>1</v>
      </c>
      <c r="N10" s="5">
        <v>2</v>
      </c>
      <c r="O10" s="5">
        <v>0</v>
      </c>
      <c r="P10" s="5">
        <v>1</v>
      </c>
      <c r="Q10" s="5">
        <v>0</v>
      </c>
      <c r="R10" s="13">
        <f>$R$3/E10^2</f>
        <v>29447705.851</v>
      </c>
      <c r="S10" s="13">
        <f>$R9/2</f>
        <v>0</v>
      </c>
      <c r="T10" s="7">
        <f>-I10*64*(A10/B10)*$I$3</f>
        <v>-8019</v>
      </c>
      <c r="U10" s="7"/>
      <c r="V10" s="7"/>
      <c r="W10" s="7" cm="1">
        <f t="array" ref="W10">SUM(R10:T10+V10)</f>
        <v>29439686.851</v>
      </c>
      <c r="X10" s="8">
        <f>$X$3/W10</f>
        <v>13.602138041981172</v>
      </c>
      <c r="Y10" s="8">
        <v>13.602134122547371</v>
      </c>
      <c r="Z10" s="8">
        <f>(X10-Y10)/Y10*100</f>
        <v>2.8814844539847726E-5</v>
      </c>
    </row>
    <row r="11" spans="1:26" x14ac:dyDescent="0.25">
      <c r="J11" s="4"/>
      <c r="K11" s="4"/>
      <c r="O11" s="4"/>
      <c r="Y11" s="6"/>
    </row>
    <row r="12" spans="1:26" x14ac:dyDescent="0.25">
      <c r="A12" s="1">
        <v>1</v>
      </c>
      <c r="B12" s="1">
        <v>3</v>
      </c>
      <c r="C12" t="s">
        <v>4</v>
      </c>
      <c r="E12" s="1">
        <v>1</v>
      </c>
      <c r="F12" s="1">
        <f>E12</f>
        <v>1</v>
      </c>
      <c r="G12" t="s">
        <v>32</v>
      </c>
      <c r="H12" s="1">
        <v>1</v>
      </c>
      <c r="I12" s="1">
        <f>B12-A12</f>
        <v>2</v>
      </c>
      <c r="J12" s="5" t="s">
        <v>18</v>
      </c>
      <c r="K12" s="5"/>
      <c r="M12" s="5">
        <v>1</v>
      </c>
      <c r="N12" s="5">
        <v>1</v>
      </c>
      <c r="O12" s="5">
        <v>1</v>
      </c>
      <c r="P12" s="5">
        <v>0</v>
      </c>
      <c r="Q12" s="5">
        <v>0</v>
      </c>
      <c r="S12" s="7"/>
      <c r="T12" s="7"/>
      <c r="U12" s="7"/>
      <c r="V12" s="7"/>
      <c r="W12" s="7"/>
      <c r="X12" s="8"/>
      <c r="Y12" s="8"/>
    </row>
    <row r="13" spans="1:26" x14ac:dyDescent="0.25">
      <c r="A13" s="1">
        <v>1</v>
      </c>
      <c r="B13" s="1">
        <v>3</v>
      </c>
      <c r="C13" t="s">
        <v>4</v>
      </c>
      <c r="E13" s="1">
        <v>1</v>
      </c>
      <c r="F13" s="1">
        <f>E13</f>
        <v>1</v>
      </c>
      <c r="G13" t="s">
        <v>33</v>
      </c>
      <c r="H13" s="1">
        <v>1</v>
      </c>
      <c r="I13" s="1">
        <f>B13-A13</f>
        <v>2</v>
      </c>
      <c r="J13" s="5" t="s">
        <v>12</v>
      </c>
      <c r="K13" s="5" t="s">
        <v>50</v>
      </c>
      <c r="M13" s="5">
        <v>1</v>
      </c>
      <c r="N13" s="5">
        <v>2</v>
      </c>
      <c r="O13" s="5">
        <v>0</v>
      </c>
      <c r="P13" s="5">
        <v>1</v>
      </c>
      <c r="Q13" s="5">
        <v>0</v>
      </c>
      <c r="R13" s="13">
        <f>$R$3/E13^2</f>
        <v>29447705.851</v>
      </c>
      <c r="S13" s="13">
        <f>$R12/2</f>
        <v>0</v>
      </c>
      <c r="T13" s="7">
        <f>-I13*64*(A13/B13)*$I$3</f>
        <v>-10692</v>
      </c>
      <c r="U13" s="7"/>
      <c r="V13" s="7"/>
      <c r="W13" s="7" cm="1">
        <f t="array" ref="W13">SUM(R13:T13+V13)</f>
        <v>29437013.851</v>
      </c>
      <c r="X13" s="8">
        <f>$X$3/W13</f>
        <v>13.603373171168196</v>
      </c>
      <c r="Y13" s="8">
        <v>13.603365214425592</v>
      </c>
      <c r="Z13" s="8">
        <f>(X13-Y13)/Y13*100</f>
        <v>5.8490987178795202E-5</v>
      </c>
    </row>
    <row r="14" spans="1:26" x14ac:dyDescent="0.25">
      <c r="S14" s="7"/>
      <c r="T14" s="7"/>
      <c r="U14" s="7"/>
      <c r="V14" s="7"/>
      <c r="W14" s="7"/>
      <c r="X14" s="6"/>
      <c r="Y14" s="9"/>
    </row>
    <row r="15" spans="1:26" x14ac:dyDescent="0.25">
      <c r="A15" s="1">
        <v>2</v>
      </c>
      <c r="B15" s="1">
        <f>A15*2</f>
        <v>4</v>
      </c>
      <c r="C15" t="s">
        <v>21</v>
      </c>
      <c r="E15" s="1">
        <v>2</v>
      </c>
      <c r="F15" s="1">
        <f>E15</f>
        <v>2</v>
      </c>
      <c r="G15" t="s">
        <v>23</v>
      </c>
      <c r="H15" s="1">
        <v>2</v>
      </c>
      <c r="I15" s="1">
        <f>A15*2-E15-F15</f>
        <v>0</v>
      </c>
      <c r="J15" s="5" t="s">
        <v>18</v>
      </c>
      <c r="M15" s="5">
        <v>1</v>
      </c>
      <c r="N15" s="5">
        <v>1</v>
      </c>
      <c r="O15" s="1">
        <v>2</v>
      </c>
      <c r="P15" s="5">
        <v>0</v>
      </c>
      <c r="Q15" s="5">
        <v>0</v>
      </c>
      <c r="R15" s="13">
        <f>$R$3</f>
        <v>29447705.851</v>
      </c>
      <c r="S15" s="7"/>
      <c r="T15" s="7"/>
      <c r="U15" s="7"/>
      <c r="V15" s="7"/>
      <c r="W15" s="7"/>
      <c r="X15" s="6"/>
      <c r="Y15" s="6"/>
    </row>
    <row r="16" spans="1:26" x14ac:dyDescent="0.25">
      <c r="A16" s="1">
        <v>2</v>
      </c>
      <c r="B16" s="1">
        <f t="shared" ref="B16:B18" si="0">A16*2</f>
        <v>4</v>
      </c>
      <c r="C16" t="s">
        <v>11</v>
      </c>
      <c r="E16" s="1">
        <v>2</v>
      </c>
      <c r="F16" s="1">
        <f>E16</f>
        <v>2</v>
      </c>
      <c r="G16" t="s">
        <v>78</v>
      </c>
      <c r="H16" s="1">
        <v>2</v>
      </c>
      <c r="I16" s="1">
        <f>A16*2-E16-F16</f>
        <v>0</v>
      </c>
      <c r="J16" s="1" t="s">
        <v>6</v>
      </c>
      <c r="M16" s="5">
        <v>1</v>
      </c>
      <c r="N16" s="5">
        <v>1</v>
      </c>
      <c r="O16" s="1">
        <v>1</v>
      </c>
      <c r="P16" s="5">
        <v>1</v>
      </c>
      <c r="Q16" s="5">
        <v>0</v>
      </c>
      <c r="R16" s="13">
        <f>$R$3</f>
        <v>29447705.851</v>
      </c>
      <c r="S16" s="13">
        <f>-$R15/2</f>
        <v>-14723852.9255</v>
      </c>
      <c r="T16" s="7">
        <f>$T$2*1</f>
        <v>1498176</v>
      </c>
      <c r="U16" s="7"/>
      <c r="V16" s="7">
        <f>$V$2*0</f>
        <v>0</v>
      </c>
      <c r="W16" s="7" cm="1">
        <f t="array" ref="W16">SUM(R16:T16+V16)</f>
        <v>16222028.9255</v>
      </c>
      <c r="X16" s="8">
        <f>$X$3/W16</f>
        <v>24.685117151439023</v>
      </c>
      <c r="Y16" s="6">
        <v>24.587387</v>
      </c>
      <c r="Z16" s="8">
        <f>(X16-Y16)/Y16*100</f>
        <v>0.39748083616621566</v>
      </c>
    </row>
    <row r="17" spans="1:26" x14ac:dyDescent="0.25">
      <c r="A17" s="1">
        <v>2</v>
      </c>
      <c r="B17" s="1">
        <f t="shared" si="0"/>
        <v>4</v>
      </c>
      <c r="C17" t="s">
        <v>11</v>
      </c>
      <c r="E17" s="1">
        <v>2</v>
      </c>
      <c r="F17" s="1">
        <f>E17</f>
        <v>2</v>
      </c>
      <c r="G17" t="s">
        <v>24</v>
      </c>
      <c r="H17" s="1">
        <v>1</v>
      </c>
      <c r="I17" s="1">
        <v>0</v>
      </c>
      <c r="J17" s="5" t="s">
        <v>13</v>
      </c>
      <c r="K17" s="5" t="s">
        <v>50</v>
      </c>
      <c r="M17" s="5">
        <v>1</v>
      </c>
      <c r="N17" s="5">
        <v>2</v>
      </c>
      <c r="O17" s="5">
        <v>0</v>
      </c>
      <c r="P17" s="5">
        <v>1</v>
      </c>
      <c r="Q17" s="5">
        <v>1</v>
      </c>
      <c r="R17" s="13">
        <f>$R$20/E17^2</f>
        <v>7361926.4627499999</v>
      </c>
      <c r="S17" s="7">
        <f>$S$2*0</f>
        <v>0</v>
      </c>
      <c r="T17" s="7"/>
      <c r="U17" s="7"/>
      <c r="V17" s="7">
        <f>$V$2*0</f>
        <v>0</v>
      </c>
      <c r="W17" s="7" cm="1">
        <f t="array" ref="W17">SUM(R17:T17+V17)</f>
        <v>7361926.4627499999</v>
      </c>
      <c r="X17" s="8">
        <f>$X$3/W17</f>
        <v>54.393735999152753</v>
      </c>
      <c r="Y17" s="6">
        <v>54.417765000000003</v>
      </c>
      <c r="Z17" s="8">
        <f t="shared" ref="Z17:Z18" si="1">(X17-Y17)/Y17*100</f>
        <v>-4.4156537570497249E-2</v>
      </c>
    </row>
    <row r="18" spans="1:26" x14ac:dyDescent="0.25">
      <c r="A18" s="1">
        <v>2</v>
      </c>
      <c r="B18" s="1">
        <f t="shared" si="0"/>
        <v>4</v>
      </c>
      <c r="C18" t="s">
        <v>11</v>
      </c>
      <c r="E18" s="1">
        <v>2</v>
      </c>
      <c r="F18" s="1">
        <f>E18</f>
        <v>2</v>
      </c>
      <c r="G18" t="s">
        <v>25</v>
      </c>
      <c r="H18" s="1">
        <v>0</v>
      </c>
      <c r="I18" s="1">
        <f>A18*2-E18-F18</f>
        <v>0</v>
      </c>
      <c r="J18" s="1" t="s">
        <v>74</v>
      </c>
      <c r="K18" s="5"/>
      <c r="M18" s="5">
        <v>1</v>
      </c>
      <c r="N18" s="5">
        <v>3</v>
      </c>
      <c r="O18" s="5">
        <v>0</v>
      </c>
      <c r="P18" s="5">
        <v>0</v>
      </c>
      <c r="Q18" s="5">
        <v>2</v>
      </c>
      <c r="S18" s="7"/>
      <c r="T18" s="7"/>
      <c r="U18" s="7"/>
      <c r="V18" s="7"/>
      <c r="W18" s="7"/>
      <c r="X18" s="8">
        <f>SUM(X16:X17)</f>
        <v>79.078853150591783</v>
      </c>
      <c r="Y18" s="8">
        <f>SUM(Y16:Y17)</f>
        <v>79.00515200000001</v>
      </c>
      <c r="Z18" s="8">
        <f t="shared" si="1"/>
        <v>9.3286511988197304E-2</v>
      </c>
    </row>
    <row r="19" spans="1:26" x14ac:dyDescent="0.25">
      <c r="S19" s="7"/>
      <c r="T19" s="7"/>
      <c r="U19" s="7"/>
      <c r="V19" s="7"/>
      <c r="W19" s="7"/>
      <c r="X19" s="8"/>
    </row>
    <row r="20" spans="1:26" x14ac:dyDescent="0.25">
      <c r="A20" s="1">
        <v>3</v>
      </c>
      <c r="B20" s="1">
        <f>A20*2</f>
        <v>6</v>
      </c>
      <c r="C20" t="s">
        <v>44</v>
      </c>
      <c r="E20" s="1">
        <v>3</v>
      </c>
      <c r="F20" s="1">
        <f>E20</f>
        <v>3</v>
      </c>
      <c r="G20" t="s">
        <v>39</v>
      </c>
      <c r="H20" s="1">
        <v>3</v>
      </c>
      <c r="I20" s="1">
        <v>0</v>
      </c>
      <c r="J20" s="5" t="s">
        <v>18</v>
      </c>
      <c r="M20" s="5">
        <v>1</v>
      </c>
      <c r="N20" s="5">
        <v>1</v>
      </c>
      <c r="O20" s="5">
        <v>2</v>
      </c>
      <c r="P20" s="5">
        <v>1</v>
      </c>
      <c r="Q20" s="5">
        <v>0</v>
      </c>
      <c r="R20" s="13">
        <f>$R$3</f>
        <v>29447705.851</v>
      </c>
      <c r="S20" s="7"/>
      <c r="T20" s="7"/>
      <c r="U20" s="7"/>
      <c r="V20" s="7"/>
      <c r="W20" s="7"/>
      <c r="X20" s="6"/>
      <c r="Y20" s="6"/>
    </row>
    <row r="21" spans="1:26" x14ac:dyDescent="0.25">
      <c r="A21" s="1">
        <v>3</v>
      </c>
      <c r="B21" s="1">
        <f t="shared" ref="B21:B23" si="2">A21*2</f>
        <v>6</v>
      </c>
      <c r="C21" t="s">
        <v>45</v>
      </c>
      <c r="E21" s="1">
        <v>3</v>
      </c>
      <c r="F21" s="1">
        <f t="shared" ref="F21:F68" si="3">E21</f>
        <v>3</v>
      </c>
      <c r="G21" t="s">
        <v>77</v>
      </c>
      <c r="H21" s="1">
        <v>3</v>
      </c>
      <c r="I21" s="1">
        <v>0</v>
      </c>
      <c r="J21" s="5" t="s">
        <v>12</v>
      </c>
      <c r="K21" s="5"/>
      <c r="M21" s="5">
        <v>1</v>
      </c>
      <c r="N21" s="5">
        <v>1</v>
      </c>
      <c r="O21" s="5">
        <v>2</v>
      </c>
      <c r="P21" s="5">
        <v>1</v>
      </c>
      <c r="Q21" s="5">
        <v>0</v>
      </c>
      <c r="R21" s="13">
        <f>$R$3*3</f>
        <v>88343117.553000003</v>
      </c>
      <c r="S21" s="13">
        <f>-$R20/2</f>
        <v>-14723852.9255</v>
      </c>
      <c r="T21" s="7">
        <f>$T$2*0</f>
        <v>0</v>
      </c>
      <c r="U21" s="7"/>
      <c r="V21" s="7">
        <f>$V$2*0</f>
        <v>0</v>
      </c>
      <c r="W21" s="7">
        <f>SUM(R21:T21)+V21</f>
        <v>73619264.627499998</v>
      </c>
      <c r="X21" s="8">
        <f>$X$3/W21</f>
        <v>5.4393735999152755</v>
      </c>
      <c r="Y21" s="6">
        <v>5.3917149960000001</v>
      </c>
      <c r="Z21" s="8">
        <f t="shared" ref="Z21:Z24" si="4">(X21-Y21)/Y21*100</f>
        <v>0.88392290673064577</v>
      </c>
    </row>
    <row r="22" spans="1:26" x14ac:dyDescent="0.25">
      <c r="A22" s="1">
        <v>3</v>
      </c>
      <c r="B22" s="1">
        <f t="shared" si="2"/>
        <v>6</v>
      </c>
      <c r="C22" t="s">
        <v>45</v>
      </c>
      <c r="E22" s="1">
        <v>3</v>
      </c>
      <c r="F22" s="1">
        <f t="shared" si="3"/>
        <v>3</v>
      </c>
      <c r="G22" t="s">
        <v>76</v>
      </c>
      <c r="H22" s="1">
        <v>2</v>
      </c>
      <c r="I22" s="1">
        <v>0</v>
      </c>
      <c r="J22" s="5" t="s">
        <v>13</v>
      </c>
      <c r="M22" s="5">
        <v>2</v>
      </c>
      <c r="N22" s="5">
        <v>2</v>
      </c>
      <c r="O22" s="5">
        <v>1</v>
      </c>
      <c r="P22" s="5">
        <v>1</v>
      </c>
      <c r="Q22" s="5">
        <v>1</v>
      </c>
      <c r="R22" s="13">
        <f>$R$3/3</f>
        <v>9815901.9503333326</v>
      </c>
      <c r="S22" s="7">
        <f>$S$2*3</f>
        <v>-4494528</v>
      </c>
      <c r="T22" s="7">
        <f>$T$2*0</f>
        <v>0</v>
      </c>
      <c r="U22" s="7"/>
      <c r="V22" s="7">
        <f>$V$2*0</f>
        <v>0</v>
      </c>
      <c r="W22" s="7">
        <f>SUM(R22:T22)+V22</f>
        <v>5321373.9503333326</v>
      </c>
      <c r="X22" s="8">
        <f t="shared" ref="X22:X23" si="5">$X$3/W22</f>
        <v>75.251746672476585</v>
      </c>
      <c r="Y22" s="6">
        <v>75.64</v>
      </c>
      <c r="Z22" s="8">
        <f t="shared" si="4"/>
        <v>-0.51329101999393867</v>
      </c>
    </row>
    <row r="23" spans="1:26" x14ac:dyDescent="0.25">
      <c r="A23" s="1">
        <v>3</v>
      </c>
      <c r="B23" s="1">
        <f t="shared" si="2"/>
        <v>6</v>
      </c>
      <c r="C23" t="s">
        <v>45</v>
      </c>
      <c r="E23" s="1">
        <v>3</v>
      </c>
      <c r="F23" s="1">
        <f t="shared" si="3"/>
        <v>3</v>
      </c>
      <c r="G23" t="s">
        <v>75</v>
      </c>
      <c r="H23" s="1">
        <v>1</v>
      </c>
      <c r="I23" s="1">
        <v>0</v>
      </c>
      <c r="J23" s="1" t="s">
        <v>7</v>
      </c>
      <c r="K23" s="5" t="s">
        <v>50</v>
      </c>
      <c r="M23" s="5">
        <v>1</v>
      </c>
      <c r="N23" s="5">
        <v>3</v>
      </c>
      <c r="O23" s="1">
        <v>0</v>
      </c>
      <c r="P23" s="5">
        <v>1</v>
      </c>
      <c r="Q23" s="5">
        <v>2</v>
      </c>
      <c r="R23" s="13">
        <f>$R$3/E23^2</f>
        <v>3271967.3167777779</v>
      </c>
      <c r="S23" s="7">
        <f>$S$2*0</f>
        <v>0</v>
      </c>
      <c r="T23" s="7">
        <f>$T$2*0</f>
        <v>0</v>
      </c>
      <c r="U23" s="7"/>
      <c r="V23" s="7">
        <f t="shared" ref="V23" si="6">$V$2*0</f>
        <v>0</v>
      </c>
      <c r="W23" s="7">
        <f>SUM(R23:T23)+V23</f>
        <v>3271967.3167777779</v>
      </c>
      <c r="X23" s="8">
        <f t="shared" si="5"/>
        <v>122.38590599809369</v>
      </c>
      <c r="Y23" s="6">
        <v>122.45435380000001</v>
      </c>
      <c r="Z23" s="8">
        <f t="shared" si="4"/>
        <v>-5.5896584957779084E-2</v>
      </c>
    </row>
    <row r="24" spans="1:26" x14ac:dyDescent="0.25">
      <c r="A24" s="1">
        <v>3</v>
      </c>
      <c r="B24" s="1">
        <f t="shared" ref="B24" si="7">A24*2</f>
        <v>6</v>
      </c>
      <c r="C24" t="s">
        <v>45</v>
      </c>
      <c r="E24" s="1">
        <v>3</v>
      </c>
      <c r="F24" s="1">
        <f t="shared" ref="F24" si="8">E24</f>
        <v>3</v>
      </c>
      <c r="G24" t="s">
        <v>42</v>
      </c>
      <c r="H24" s="1">
        <v>0</v>
      </c>
      <c r="I24" s="1">
        <v>0</v>
      </c>
      <c r="J24" s="1" t="s">
        <v>74</v>
      </c>
      <c r="M24" s="5">
        <v>1</v>
      </c>
      <c r="N24" s="5">
        <v>3</v>
      </c>
      <c r="O24" s="1">
        <v>0</v>
      </c>
      <c r="P24" s="5">
        <v>0</v>
      </c>
      <c r="Q24" s="5">
        <v>3</v>
      </c>
      <c r="S24" s="7"/>
      <c r="T24" s="7"/>
      <c r="U24" s="7"/>
      <c r="V24" s="7"/>
      <c r="W24" s="7"/>
      <c r="X24" s="8">
        <f>SUM(X22:X23)</f>
        <v>197.63765267057028</v>
      </c>
      <c r="Y24" s="8">
        <f>SUM(Y21:Y23)</f>
        <v>203.48606879600001</v>
      </c>
      <c r="Z24" s="8">
        <f t="shared" si="4"/>
        <v>-2.874111313877179</v>
      </c>
    </row>
    <row r="26" spans="1:26" x14ac:dyDescent="0.25">
      <c r="A26" s="1">
        <v>4</v>
      </c>
      <c r="B26" s="1">
        <f>A26*2</f>
        <v>8</v>
      </c>
      <c r="C26" t="s">
        <v>46</v>
      </c>
      <c r="E26" s="1">
        <v>4</v>
      </c>
      <c r="F26" s="1">
        <f t="shared" si="3"/>
        <v>4</v>
      </c>
      <c r="G26" t="s">
        <v>40</v>
      </c>
      <c r="H26" s="1">
        <v>4</v>
      </c>
      <c r="I26" s="1">
        <v>0</v>
      </c>
      <c r="J26" s="5" t="s">
        <v>18</v>
      </c>
      <c r="M26" s="5">
        <v>1</v>
      </c>
      <c r="N26" s="5">
        <v>1</v>
      </c>
      <c r="O26" s="5">
        <v>2</v>
      </c>
      <c r="P26" s="5">
        <v>2</v>
      </c>
      <c r="Q26" s="5">
        <v>0</v>
      </c>
      <c r="R26" s="13">
        <f>$R$3</f>
        <v>29447705.851</v>
      </c>
      <c r="S26" s="7"/>
      <c r="T26" s="7"/>
      <c r="U26" s="7"/>
      <c r="V26" s="7"/>
      <c r="W26" s="7"/>
      <c r="X26" s="6"/>
      <c r="Y26" s="6"/>
    </row>
    <row r="27" spans="1:26" x14ac:dyDescent="0.25">
      <c r="A27" s="1">
        <v>4</v>
      </c>
      <c r="B27" s="1">
        <f t="shared" ref="B27:B31" si="9">A27*2</f>
        <v>8</v>
      </c>
      <c r="C27" t="s">
        <v>47</v>
      </c>
      <c r="E27" s="1">
        <v>4</v>
      </c>
      <c r="F27" s="1">
        <f t="shared" si="3"/>
        <v>4</v>
      </c>
      <c r="G27" t="s">
        <v>81</v>
      </c>
      <c r="H27" s="1">
        <v>4</v>
      </c>
      <c r="I27" s="1">
        <v>0</v>
      </c>
      <c r="J27" s="5" t="s">
        <v>12</v>
      </c>
      <c r="K27" s="5"/>
      <c r="M27" s="5">
        <v>1</v>
      </c>
      <c r="N27" s="5">
        <v>1</v>
      </c>
      <c r="O27" s="5">
        <v>2</v>
      </c>
      <c r="P27" s="5">
        <v>2</v>
      </c>
      <c r="Q27" s="5">
        <v>0</v>
      </c>
      <c r="R27" s="13">
        <f>$R$3*O27</f>
        <v>58895411.702</v>
      </c>
      <c r="S27" s="13">
        <f>-$R26/2</f>
        <v>-14723852.9255</v>
      </c>
      <c r="T27" s="7">
        <f>$T$2*-1</f>
        <v>-1498176</v>
      </c>
      <c r="U27" s="7"/>
      <c r="V27" s="7">
        <f>$V$2*0</f>
        <v>0</v>
      </c>
      <c r="W27" s="7">
        <f>SUM(R27:T27)+V27</f>
        <v>42673382.776500002</v>
      </c>
      <c r="X27" s="8">
        <f>$X$3/W27</f>
        <v>9.383898308631899</v>
      </c>
      <c r="Y27" s="6">
        <v>9.3226990000000001</v>
      </c>
      <c r="Z27" s="8">
        <f t="shared" ref="Z27:Z31" si="10">(X27-Y27)/Y27*100</f>
        <v>0.65645483815254502</v>
      </c>
    </row>
    <row r="28" spans="1:26" x14ac:dyDescent="0.25">
      <c r="A28" s="1">
        <v>4</v>
      </c>
      <c r="B28" s="1">
        <f t="shared" si="9"/>
        <v>8</v>
      </c>
      <c r="C28" t="s">
        <v>47</v>
      </c>
      <c r="E28" s="1">
        <v>4</v>
      </c>
      <c r="F28" s="1">
        <f t="shared" si="3"/>
        <v>4</v>
      </c>
      <c r="G28" t="s">
        <v>82</v>
      </c>
      <c r="H28" s="1">
        <v>3</v>
      </c>
      <c r="I28" s="1">
        <v>0</v>
      </c>
      <c r="J28" s="1" t="s">
        <v>6</v>
      </c>
      <c r="K28" s="5"/>
      <c r="M28" s="5">
        <v>1</v>
      </c>
      <c r="N28" s="5">
        <v>2</v>
      </c>
      <c r="O28" s="5">
        <v>2</v>
      </c>
      <c r="P28" s="5">
        <v>1</v>
      </c>
      <c r="Q28" s="5">
        <v>1</v>
      </c>
      <c r="R28" s="13">
        <f>$R$3/1</f>
        <v>29447705.851</v>
      </c>
      <c r="S28" s="7">
        <f>$S$2*4</f>
        <v>-5992704</v>
      </c>
      <c r="T28" s="7">
        <f t="shared" ref="T28:T30" si="11">$T$2*0</f>
        <v>0</v>
      </c>
      <c r="U28" s="7">
        <v>-2</v>
      </c>
      <c r="V28" s="7">
        <f>$V$2/U28</f>
        <v>-749088</v>
      </c>
      <c r="W28" s="7">
        <f>SUM(R28:T28)+V28</f>
        <v>22705913.851</v>
      </c>
      <c r="X28" s="8">
        <f>$X$3/W28</f>
        <v>17.636052311647607</v>
      </c>
      <c r="Y28" s="6">
        <v>18.211152999999999</v>
      </c>
      <c r="Z28" s="8">
        <f t="shared" si="10"/>
        <v>-3.1579586880215262</v>
      </c>
    </row>
    <row r="29" spans="1:26" x14ac:dyDescent="0.25">
      <c r="A29" s="1">
        <v>4</v>
      </c>
      <c r="B29" s="1">
        <f t="shared" si="9"/>
        <v>8</v>
      </c>
      <c r="C29" t="s">
        <v>47</v>
      </c>
      <c r="E29" s="1">
        <v>4</v>
      </c>
      <c r="F29" s="1">
        <f t="shared" si="3"/>
        <v>4</v>
      </c>
      <c r="G29" t="s">
        <v>83</v>
      </c>
      <c r="H29" s="1">
        <v>2</v>
      </c>
      <c r="I29" s="1">
        <v>0</v>
      </c>
      <c r="J29" s="1" t="s">
        <v>7</v>
      </c>
      <c r="M29" s="5">
        <v>1</v>
      </c>
      <c r="N29" s="5">
        <v>3</v>
      </c>
      <c r="O29" s="1">
        <v>1</v>
      </c>
      <c r="P29" s="5">
        <v>1</v>
      </c>
      <c r="Q29" s="5">
        <v>2</v>
      </c>
      <c r="R29" s="13">
        <f>$R$3/11</f>
        <v>2677064.1682727272</v>
      </c>
      <c r="S29" s="7">
        <f>$S$2*2*0</f>
        <v>0</v>
      </c>
      <c r="T29" s="7">
        <f t="shared" si="11"/>
        <v>0</v>
      </c>
      <c r="U29" s="7">
        <v>-24</v>
      </c>
      <c r="V29" s="7">
        <f>$V$2/U29</f>
        <v>-62424</v>
      </c>
      <c r="W29" s="7">
        <f>SUM(R29:T29)+V29</f>
        <v>2614640.1682727272</v>
      </c>
      <c r="X29" s="8">
        <f>$X$3/W29</f>
        <v>153.154032175884</v>
      </c>
      <c r="Y29" s="6">
        <v>153.896198</v>
      </c>
      <c r="Z29" s="8">
        <f t="shared" si="10"/>
        <v>-0.48225091572177781</v>
      </c>
    </row>
    <row r="30" spans="1:26" x14ac:dyDescent="0.25">
      <c r="A30" s="1">
        <v>4</v>
      </c>
      <c r="B30" s="1">
        <f t="shared" si="9"/>
        <v>8</v>
      </c>
      <c r="C30" t="s">
        <v>47</v>
      </c>
      <c r="E30" s="1">
        <v>4</v>
      </c>
      <c r="F30" s="1">
        <f t="shared" si="3"/>
        <v>4</v>
      </c>
      <c r="G30" t="s">
        <v>84</v>
      </c>
      <c r="H30" s="1">
        <v>1</v>
      </c>
      <c r="I30" s="1">
        <v>0</v>
      </c>
      <c r="J30" s="1" t="s">
        <v>8</v>
      </c>
      <c r="K30" s="5" t="s">
        <v>50</v>
      </c>
      <c r="M30" s="5">
        <v>1</v>
      </c>
      <c r="N30" s="5">
        <v>3</v>
      </c>
      <c r="O30" s="1">
        <v>0</v>
      </c>
      <c r="P30" s="5">
        <v>1</v>
      </c>
      <c r="Q30" s="5">
        <v>3</v>
      </c>
      <c r="R30" s="13">
        <f>$R$3/E30^2</f>
        <v>1840481.6156875</v>
      </c>
      <c r="S30" s="7">
        <f>$S$2*0</f>
        <v>0</v>
      </c>
      <c r="T30" s="7">
        <f t="shared" si="11"/>
        <v>0</v>
      </c>
      <c r="U30" s="7"/>
      <c r="V30" s="7">
        <f>$V$2*0</f>
        <v>0</v>
      </c>
      <c r="W30" s="7">
        <f>SUM(R30:T30)+V30</f>
        <v>1840481.6156875</v>
      </c>
      <c r="X30" s="8">
        <f>$X$3/W30</f>
        <v>217.57494399661101</v>
      </c>
      <c r="Y30" s="6">
        <v>217.71857660000001</v>
      </c>
      <c r="Z30" s="8">
        <f t="shared" si="10"/>
        <v>-6.5971680337080646E-2</v>
      </c>
    </row>
    <row r="31" spans="1:26" x14ac:dyDescent="0.25">
      <c r="A31" s="1">
        <v>4</v>
      </c>
      <c r="B31" s="1">
        <f t="shared" si="9"/>
        <v>8</v>
      </c>
      <c r="C31" t="s">
        <v>47</v>
      </c>
      <c r="E31" s="1">
        <v>4</v>
      </c>
      <c r="F31" s="1">
        <f t="shared" ref="F31" si="12">E31</f>
        <v>4</v>
      </c>
      <c r="G31" t="s">
        <v>41</v>
      </c>
      <c r="H31" s="1">
        <v>0</v>
      </c>
      <c r="I31" s="1">
        <v>0</v>
      </c>
      <c r="J31" s="1" t="s">
        <v>74</v>
      </c>
      <c r="M31" s="5">
        <v>1</v>
      </c>
      <c r="N31" s="5">
        <v>4</v>
      </c>
      <c r="O31" s="1">
        <v>0</v>
      </c>
      <c r="P31" s="5">
        <v>0</v>
      </c>
      <c r="Q31" s="5">
        <v>4</v>
      </c>
      <c r="S31" s="7"/>
      <c r="T31" s="7"/>
      <c r="U31" s="7"/>
      <c r="V31" s="7"/>
      <c r="W31" s="7"/>
      <c r="X31" s="8">
        <f>SUM(X27:X30)</f>
        <v>397.74892679277451</v>
      </c>
      <c r="Y31" s="8">
        <f>SUM(Y27:Y30)</f>
        <v>399.1486266</v>
      </c>
      <c r="Z31" s="8">
        <f t="shared" si="10"/>
        <v>-0.3506713324177797</v>
      </c>
    </row>
    <row r="33" spans="1:26" x14ac:dyDescent="0.25">
      <c r="A33" s="1">
        <v>5</v>
      </c>
      <c r="B33" s="1">
        <f>A33*2</f>
        <v>10</v>
      </c>
      <c r="C33" t="s">
        <v>48</v>
      </c>
      <c r="E33" s="1">
        <v>5</v>
      </c>
      <c r="F33" s="1">
        <f t="shared" si="3"/>
        <v>5</v>
      </c>
      <c r="G33" t="s">
        <v>43</v>
      </c>
      <c r="H33" s="1">
        <v>5</v>
      </c>
      <c r="I33" s="1">
        <v>0</v>
      </c>
      <c r="J33" s="5" t="s">
        <v>18</v>
      </c>
      <c r="M33" s="5">
        <v>1</v>
      </c>
      <c r="N33" s="5">
        <v>1</v>
      </c>
      <c r="O33" s="5">
        <v>2</v>
      </c>
      <c r="P33" s="5">
        <v>3</v>
      </c>
      <c r="Q33" s="5">
        <v>0</v>
      </c>
      <c r="R33" s="13">
        <f>$R$3</f>
        <v>29447705.851</v>
      </c>
      <c r="S33" s="7"/>
      <c r="T33" s="7"/>
      <c r="U33" s="7"/>
      <c r="V33" s="7"/>
      <c r="W33" s="7"/>
      <c r="X33" s="6"/>
      <c r="Y33" s="6"/>
    </row>
    <row r="34" spans="1:26" x14ac:dyDescent="0.25">
      <c r="A34" s="1">
        <v>5</v>
      </c>
      <c r="B34" s="1">
        <f t="shared" ref="B34:B38" si="13">A34*2</f>
        <v>10</v>
      </c>
      <c r="C34" t="s">
        <v>49</v>
      </c>
      <c r="E34" s="1">
        <v>5</v>
      </c>
      <c r="F34" s="1">
        <f t="shared" si="3"/>
        <v>5</v>
      </c>
      <c r="G34" t="s">
        <v>85</v>
      </c>
      <c r="H34" s="1">
        <v>5</v>
      </c>
      <c r="I34" s="1">
        <v>0</v>
      </c>
      <c r="J34" s="5" t="s">
        <v>12</v>
      </c>
      <c r="K34" s="5"/>
      <c r="M34" s="5">
        <v>1</v>
      </c>
      <c r="N34" s="5">
        <v>1</v>
      </c>
      <c r="O34" s="5">
        <v>2</v>
      </c>
      <c r="P34" s="5">
        <v>3</v>
      </c>
      <c r="Q34" s="5">
        <v>0</v>
      </c>
      <c r="R34" s="13">
        <f>$R$3*O34</f>
        <v>58895411.702</v>
      </c>
      <c r="S34" s="13">
        <f>-$R33/2</f>
        <v>-14723852.9255</v>
      </c>
      <c r="T34" s="7">
        <f>$T$2*3</f>
        <v>4494528</v>
      </c>
      <c r="U34" s="7"/>
      <c r="V34" s="7">
        <f>$V$2*0</f>
        <v>0</v>
      </c>
      <c r="W34" s="7">
        <f>SUM(R34:T34)+V34</f>
        <v>48666086.776500002</v>
      </c>
      <c r="X34" s="8">
        <f>$X$3/W34</f>
        <v>8.2283723838130065</v>
      </c>
      <c r="Y34" s="6">
        <v>8.298019</v>
      </c>
      <c r="Z34" s="8">
        <f t="shared" ref="Z34:Z39" si="14">(X34-Y34)/Y34*100</f>
        <v>-0.83931618121136542</v>
      </c>
    </row>
    <row r="35" spans="1:26" x14ac:dyDescent="0.25">
      <c r="A35" s="1">
        <v>5</v>
      </c>
      <c r="B35" s="1">
        <f t="shared" si="13"/>
        <v>10</v>
      </c>
      <c r="C35" t="s">
        <v>49</v>
      </c>
      <c r="E35" s="1">
        <v>5</v>
      </c>
      <c r="F35" s="1">
        <f t="shared" si="3"/>
        <v>5</v>
      </c>
      <c r="G35" t="s">
        <v>86</v>
      </c>
      <c r="H35" s="1">
        <v>4</v>
      </c>
      <c r="I35" s="1">
        <v>0</v>
      </c>
      <c r="J35" s="1" t="s">
        <v>6</v>
      </c>
      <c r="K35" s="5"/>
      <c r="M35" s="5">
        <v>1</v>
      </c>
      <c r="N35" s="5">
        <v>2</v>
      </c>
      <c r="O35" s="5">
        <v>2</v>
      </c>
      <c r="P35" s="5">
        <v>2</v>
      </c>
      <c r="Q35" s="5">
        <v>1</v>
      </c>
      <c r="R35" s="13">
        <f>$R$3</f>
        <v>29447705.851</v>
      </c>
      <c r="S35" s="7">
        <f>$S$2*9</f>
        <v>-13483584</v>
      </c>
      <c r="T35" s="7">
        <f>$T$2*0</f>
        <v>0</v>
      </c>
      <c r="U35" s="7">
        <v>-2</v>
      </c>
      <c r="V35" s="7">
        <f>$V$2/U35*0</f>
        <v>0</v>
      </c>
      <c r="W35" s="7">
        <f>SUM(R35:T35)+V35</f>
        <v>15964121.851</v>
      </c>
      <c r="X35" s="8">
        <f>$X$3/W35</f>
        <v>25.083915557492194</v>
      </c>
      <c r="Y35" s="6">
        <v>25.15483</v>
      </c>
      <c r="Z35" s="8">
        <f t="shared" si="14"/>
        <v>-0.28191183366298456</v>
      </c>
    </row>
    <row r="36" spans="1:26" x14ac:dyDescent="0.25">
      <c r="A36" s="1">
        <v>5</v>
      </c>
      <c r="B36" s="1">
        <f t="shared" si="13"/>
        <v>10</v>
      </c>
      <c r="C36" t="s">
        <v>49</v>
      </c>
      <c r="E36" s="1">
        <v>5</v>
      </c>
      <c r="F36" s="1">
        <f t="shared" si="3"/>
        <v>5</v>
      </c>
      <c r="G36" t="s">
        <v>87</v>
      </c>
      <c r="H36" s="1">
        <v>3</v>
      </c>
      <c r="I36" s="1">
        <v>0</v>
      </c>
      <c r="J36" s="1" t="s">
        <v>7</v>
      </c>
      <c r="K36" s="5"/>
      <c r="M36" s="5">
        <v>1</v>
      </c>
      <c r="N36" s="5">
        <v>3</v>
      </c>
      <c r="O36" s="5">
        <v>2</v>
      </c>
      <c r="P36" s="5">
        <v>1</v>
      </c>
      <c r="Q36" s="5">
        <v>2</v>
      </c>
      <c r="R36" s="13">
        <f>$R$3/3</f>
        <v>9815901.9503333326</v>
      </c>
      <c r="S36" s="7">
        <f>$S$2*0</f>
        <v>0</v>
      </c>
      <c r="T36" s="7">
        <f>$T$2*1</f>
        <v>1498176</v>
      </c>
      <c r="U36" s="7">
        <v>-2</v>
      </c>
      <c r="V36" s="7">
        <f t="shared" ref="V36:V37" si="15">$V$2/U36</f>
        <v>-749088</v>
      </c>
      <c r="W36" s="7">
        <f>SUM(R36:T36)+V36</f>
        <v>10564989.950333333</v>
      </c>
      <c r="X36" s="8">
        <f>$X$3/W36</f>
        <v>37.902798425981061</v>
      </c>
      <c r="Y36" s="6">
        <v>37.930590000000002</v>
      </c>
      <c r="Z36" s="8">
        <f t="shared" si="14"/>
        <v>-7.326955372679779E-2</v>
      </c>
    </row>
    <row r="37" spans="1:26" x14ac:dyDescent="0.25">
      <c r="A37" s="1">
        <v>5</v>
      </c>
      <c r="B37" s="1">
        <f t="shared" si="13"/>
        <v>10</v>
      </c>
      <c r="C37" t="s">
        <v>49</v>
      </c>
      <c r="E37" s="1">
        <v>5</v>
      </c>
      <c r="F37" s="1">
        <f t="shared" si="3"/>
        <v>5</v>
      </c>
      <c r="G37" t="s">
        <v>88</v>
      </c>
      <c r="H37" s="1">
        <v>2</v>
      </c>
      <c r="I37" s="1">
        <v>0</v>
      </c>
      <c r="J37" s="1" t="s">
        <v>8</v>
      </c>
      <c r="M37" s="5">
        <v>1</v>
      </c>
      <c r="N37" s="5">
        <v>4</v>
      </c>
      <c r="O37" s="5">
        <v>1</v>
      </c>
      <c r="P37" s="5">
        <v>1</v>
      </c>
      <c r="Q37" s="5">
        <v>3</v>
      </c>
      <c r="R37" s="13">
        <f>$R$3/N37^2</f>
        <v>1840481.6156875</v>
      </c>
      <c r="S37" s="7">
        <f>$S$2*0</f>
        <v>0</v>
      </c>
      <c r="T37" s="7">
        <f t="shared" ref="T37:T38" si="16">$T$2*0</f>
        <v>0</v>
      </c>
      <c r="U37" s="7">
        <v>-6</v>
      </c>
      <c r="V37" s="7">
        <f t="shared" si="15"/>
        <v>-249696</v>
      </c>
      <c r="W37" s="7">
        <f>SUM(R37:T37)+V37</f>
        <v>1590785.6156875</v>
      </c>
      <c r="X37" s="8">
        <f>$X$3/W37</f>
        <v>251.72636746965938</v>
      </c>
      <c r="Y37" s="6">
        <v>259.37437899999998</v>
      </c>
      <c r="Z37" s="8">
        <f t="shared" si="14"/>
        <v>-2.9486380111354782</v>
      </c>
    </row>
    <row r="38" spans="1:26" x14ac:dyDescent="0.25">
      <c r="A38" s="1">
        <v>5</v>
      </c>
      <c r="B38" s="1">
        <f t="shared" si="13"/>
        <v>10</v>
      </c>
      <c r="C38" t="s">
        <v>49</v>
      </c>
      <c r="E38" s="1">
        <v>5</v>
      </c>
      <c r="F38" s="1">
        <f t="shared" si="3"/>
        <v>5</v>
      </c>
      <c r="G38" t="s">
        <v>89</v>
      </c>
      <c r="H38" s="1">
        <v>1</v>
      </c>
      <c r="I38" s="1">
        <v>0</v>
      </c>
      <c r="J38" s="1" t="s">
        <v>9</v>
      </c>
      <c r="K38" s="5" t="s">
        <v>50</v>
      </c>
      <c r="M38" s="5">
        <v>1</v>
      </c>
      <c r="N38" s="5">
        <v>5</v>
      </c>
      <c r="O38" s="1">
        <v>0</v>
      </c>
      <c r="P38" s="5">
        <v>1</v>
      </c>
      <c r="Q38" s="5">
        <v>4</v>
      </c>
      <c r="R38" s="13">
        <f>$R$3/E38^2</f>
        <v>1177908.23404</v>
      </c>
      <c r="S38" s="7">
        <f>$S$2*0</f>
        <v>0</v>
      </c>
      <c r="T38" s="7">
        <f t="shared" si="16"/>
        <v>0</v>
      </c>
      <c r="U38" s="7"/>
      <c r="V38" s="7">
        <f>$V$2*0</f>
        <v>0</v>
      </c>
      <c r="W38" s="7">
        <f>SUM(R38:T38)+V38</f>
        <v>1177908.23404</v>
      </c>
      <c r="X38" s="8">
        <f>$X$3/W38</f>
        <v>339.96084999470469</v>
      </c>
      <c r="Y38" s="6">
        <v>339.96086500000001</v>
      </c>
      <c r="Z38" s="8">
        <f t="shared" si="14"/>
        <v>-4.4138301991023165E-6</v>
      </c>
    </row>
    <row r="39" spans="1:26" x14ac:dyDescent="0.25">
      <c r="A39" s="1">
        <v>5</v>
      </c>
      <c r="B39" s="1">
        <f t="shared" ref="B39" si="17">A39*2</f>
        <v>10</v>
      </c>
      <c r="C39" t="s">
        <v>49</v>
      </c>
      <c r="E39" s="1">
        <v>5</v>
      </c>
      <c r="F39" s="1">
        <f t="shared" ref="F39" si="18">E39</f>
        <v>5</v>
      </c>
      <c r="G39" t="s">
        <v>99</v>
      </c>
      <c r="H39" s="1">
        <v>0</v>
      </c>
      <c r="I39" s="1">
        <v>0</v>
      </c>
      <c r="J39" s="1" t="s">
        <v>74</v>
      </c>
      <c r="M39" s="5">
        <v>1</v>
      </c>
      <c r="N39" s="5">
        <v>6</v>
      </c>
      <c r="O39" s="1">
        <v>0</v>
      </c>
      <c r="P39" s="5">
        <v>0</v>
      </c>
      <c r="Q39" s="5">
        <v>5</v>
      </c>
      <c r="S39" s="7"/>
      <c r="T39" s="7"/>
      <c r="U39" s="7"/>
      <c r="V39" s="7"/>
      <c r="W39" s="7"/>
      <c r="X39" s="8">
        <f>SUM(X33:X38)</f>
        <v>662.90230383165033</v>
      </c>
      <c r="Y39" s="8">
        <f>SUM(Y34:Y38)</f>
        <v>670.71868300000006</v>
      </c>
      <c r="Z39" s="8">
        <f t="shared" si="14"/>
        <v>-1.1653737053198689</v>
      </c>
    </row>
    <row r="41" spans="1:26" x14ac:dyDescent="0.25">
      <c r="A41" s="1">
        <v>6</v>
      </c>
      <c r="B41" s="1">
        <f>A41*2</f>
        <v>12</v>
      </c>
      <c r="C41" t="s">
        <v>52</v>
      </c>
      <c r="E41" s="1">
        <v>6</v>
      </c>
      <c r="F41" s="1">
        <f t="shared" si="3"/>
        <v>6</v>
      </c>
      <c r="G41" t="s">
        <v>51</v>
      </c>
      <c r="H41" s="1">
        <v>6</v>
      </c>
      <c r="I41" s="1">
        <v>0</v>
      </c>
      <c r="J41" s="5" t="s">
        <v>18</v>
      </c>
      <c r="M41" s="5">
        <v>1</v>
      </c>
      <c r="N41" s="5">
        <v>1</v>
      </c>
      <c r="O41" s="5">
        <v>2</v>
      </c>
      <c r="P41" s="5">
        <v>4</v>
      </c>
      <c r="Q41" s="5">
        <v>0</v>
      </c>
      <c r="R41" s="13">
        <f>$R$3</f>
        <v>29447705.851</v>
      </c>
      <c r="S41" s="7"/>
      <c r="T41" s="7"/>
      <c r="U41" s="7"/>
      <c r="V41" s="7"/>
      <c r="W41" s="7"/>
      <c r="X41" s="6"/>
      <c r="Y41" s="6"/>
    </row>
    <row r="42" spans="1:26" x14ac:dyDescent="0.25">
      <c r="A42" s="1">
        <v>6</v>
      </c>
      <c r="B42" s="1">
        <f t="shared" ref="B42:B46" si="19">A42*2</f>
        <v>12</v>
      </c>
      <c r="C42" t="s">
        <v>53</v>
      </c>
      <c r="E42" s="1">
        <v>6</v>
      </c>
      <c r="F42" s="1">
        <f t="shared" si="3"/>
        <v>6</v>
      </c>
      <c r="G42" t="s">
        <v>98</v>
      </c>
      <c r="H42" s="1">
        <v>6</v>
      </c>
      <c r="I42" s="1">
        <v>0</v>
      </c>
      <c r="J42" s="5" t="s">
        <v>12</v>
      </c>
      <c r="K42" s="5"/>
      <c r="M42" s="5">
        <v>1</v>
      </c>
      <c r="N42" s="5">
        <v>1</v>
      </c>
      <c r="O42" s="5">
        <v>2</v>
      </c>
      <c r="P42" s="5">
        <v>4</v>
      </c>
      <c r="Q42" s="5">
        <v>0</v>
      </c>
      <c r="R42" s="13">
        <f>$R$3*O42</f>
        <v>58895411.702</v>
      </c>
      <c r="S42" s="13">
        <f>-$R41/2</f>
        <v>-14723852.9255</v>
      </c>
      <c r="T42" s="7">
        <f>-$T$2*6</f>
        <v>-8989056</v>
      </c>
      <c r="U42" s="7"/>
      <c r="V42" s="7">
        <f>$V$2*0</f>
        <v>0</v>
      </c>
      <c r="W42" s="7">
        <f t="shared" ref="W42:W47" si="20">SUM(R42:T42)+V42</f>
        <v>35182502.776500002</v>
      </c>
      <c r="X42" s="8">
        <f t="shared" ref="X42:X47" si="21">$X$3/W42</f>
        <v>11.381870329232914</v>
      </c>
      <c r="Y42" s="6">
        <v>11.260287999999999</v>
      </c>
      <c r="Z42" s="8">
        <f t="shared" ref="Z42:Z48" si="22">(X42-Y42)/Y42*100</f>
        <v>1.0797444011459991</v>
      </c>
    </row>
    <row r="43" spans="1:26" x14ac:dyDescent="0.25">
      <c r="A43" s="1">
        <v>6</v>
      </c>
      <c r="B43" s="1">
        <f t="shared" si="19"/>
        <v>12</v>
      </c>
      <c r="C43" t="s">
        <v>53</v>
      </c>
      <c r="E43" s="1">
        <v>6</v>
      </c>
      <c r="F43" s="1">
        <f t="shared" si="3"/>
        <v>6</v>
      </c>
      <c r="G43" t="s">
        <v>93</v>
      </c>
      <c r="H43" s="1">
        <v>5</v>
      </c>
      <c r="I43" s="1">
        <v>0</v>
      </c>
      <c r="J43" s="1" t="s">
        <v>6</v>
      </c>
      <c r="K43" s="5"/>
      <c r="M43" s="5">
        <v>1</v>
      </c>
      <c r="N43" s="5">
        <v>2</v>
      </c>
      <c r="O43" s="5">
        <v>2</v>
      </c>
      <c r="P43" s="5">
        <v>3</v>
      </c>
      <c r="Q43" s="5">
        <v>1</v>
      </c>
      <c r="R43" s="13">
        <f>$R$3</f>
        <v>29447705.851</v>
      </c>
      <c r="S43" s="7">
        <f>$S$2*8</f>
        <v>-11985408</v>
      </c>
      <c r="T43" s="7">
        <f>$T$2*0</f>
        <v>0</v>
      </c>
      <c r="U43" s="7">
        <v>-2</v>
      </c>
      <c r="V43" s="7">
        <f>$V$2/U43</f>
        <v>-749088</v>
      </c>
      <c r="W43" s="7">
        <f t="shared" si="20"/>
        <v>16713209.851</v>
      </c>
      <c r="X43" s="8">
        <f t="shared" si="21"/>
        <v>23.959651558856024</v>
      </c>
      <c r="Y43" s="6">
        <v>24.383154000000001</v>
      </c>
      <c r="Z43" s="8">
        <f t="shared" si="22"/>
        <v>-1.736864890998012</v>
      </c>
    </row>
    <row r="44" spans="1:26" x14ac:dyDescent="0.25">
      <c r="A44" s="1">
        <v>6</v>
      </c>
      <c r="B44" s="1">
        <f t="shared" si="19"/>
        <v>12</v>
      </c>
      <c r="C44" t="s">
        <v>53</v>
      </c>
      <c r="E44" s="1">
        <v>6</v>
      </c>
      <c r="F44" s="1">
        <f t="shared" si="3"/>
        <v>6</v>
      </c>
      <c r="G44" t="s">
        <v>94</v>
      </c>
      <c r="H44" s="1">
        <v>4</v>
      </c>
      <c r="I44" s="1">
        <v>0</v>
      </c>
      <c r="J44" s="1" t="s">
        <v>7</v>
      </c>
      <c r="K44" s="5"/>
      <c r="M44" s="5">
        <v>1</v>
      </c>
      <c r="N44" s="5">
        <v>3</v>
      </c>
      <c r="O44" s="5">
        <v>2</v>
      </c>
      <c r="P44" s="5">
        <v>2</v>
      </c>
      <c r="Q44" s="5">
        <v>2</v>
      </c>
      <c r="R44" s="13">
        <f>$R$3/2</f>
        <v>14723852.9255</v>
      </c>
      <c r="S44" s="7">
        <f>$S$2*4</f>
        <v>-5992704</v>
      </c>
      <c r="T44" s="7">
        <f t="shared" ref="T44:T47" si="23">$T$2*0</f>
        <v>0</v>
      </c>
      <c r="U44" s="7">
        <v>-5</v>
      </c>
      <c r="V44" s="7">
        <f t="shared" ref="V44:V46" si="24">$V$2/U44</f>
        <v>-299635.20000000001</v>
      </c>
      <c r="W44" s="7">
        <f t="shared" si="20"/>
        <v>8431513.7255000006</v>
      </c>
      <c r="X44" s="8">
        <f t="shared" si="21"/>
        <v>47.493569659848141</v>
      </c>
      <c r="Y44" s="6">
        <v>47.887779999999999</v>
      </c>
      <c r="Z44" s="8">
        <f t="shared" si="22"/>
        <v>-0.8231961058789069</v>
      </c>
    </row>
    <row r="45" spans="1:26" x14ac:dyDescent="0.25">
      <c r="A45" s="1">
        <v>6</v>
      </c>
      <c r="B45" s="1">
        <f t="shared" si="19"/>
        <v>12</v>
      </c>
      <c r="C45" t="s">
        <v>53</v>
      </c>
      <c r="E45" s="1">
        <v>6</v>
      </c>
      <c r="F45" s="1">
        <f t="shared" si="3"/>
        <v>6</v>
      </c>
      <c r="G45" t="s">
        <v>95</v>
      </c>
      <c r="H45" s="1">
        <v>3</v>
      </c>
      <c r="I45" s="1">
        <v>0</v>
      </c>
      <c r="J45" s="1" t="s">
        <v>8</v>
      </c>
      <c r="K45" s="5"/>
      <c r="M45" s="5">
        <v>1</v>
      </c>
      <c r="N45" s="5">
        <v>4</v>
      </c>
      <c r="O45" s="5">
        <v>2</v>
      </c>
      <c r="P45" s="5">
        <v>1</v>
      </c>
      <c r="Q45" s="5">
        <v>3</v>
      </c>
      <c r="R45" s="13">
        <f>$R$3/4</f>
        <v>7361926.4627499999</v>
      </c>
      <c r="S45" s="7">
        <f>$S$2*1</f>
        <v>-1498176</v>
      </c>
      <c r="T45" s="7">
        <f t="shared" si="23"/>
        <v>0</v>
      </c>
      <c r="U45" s="7">
        <v>4</v>
      </c>
      <c r="V45" s="7">
        <f t="shared" si="24"/>
        <v>374544</v>
      </c>
      <c r="W45" s="7">
        <f t="shared" si="20"/>
        <v>6238294.4627499999</v>
      </c>
      <c r="X45" s="8">
        <f t="shared" si="21"/>
        <v>64.191052033711571</v>
      </c>
      <c r="Y45" s="6">
        <v>64.493520000000004</v>
      </c>
      <c r="Z45" s="8">
        <f t="shared" si="22"/>
        <v>-0.46898970049771266</v>
      </c>
    </row>
    <row r="46" spans="1:26" x14ac:dyDescent="0.25">
      <c r="A46" s="1">
        <v>6</v>
      </c>
      <c r="B46" s="1">
        <f t="shared" si="19"/>
        <v>12</v>
      </c>
      <c r="C46" t="s">
        <v>53</v>
      </c>
      <c r="E46" s="1">
        <v>6</v>
      </c>
      <c r="F46" s="1">
        <f t="shared" si="3"/>
        <v>6</v>
      </c>
      <c r="G46" t="s">
        <v>96</v>
      </c>
      <c r="H46" s="1">
        <v>2</v>
      </c>
      <c r="I46" s="1">
        <v>0</v>
      </c>
      <c r="J46" s="1" t="s">
        <v>9</v>
      </c>
      <c r="M46" s="5">
        <v>1</v>
      </c>
      <c r="N46" s="5">
        <v>5</v>
      </c>
      <c r="O46" s="5">
        <v>1</v>
      </c>
      <c r="P46" s="5">
        <v>1</v>
      </c>
      <c r="Q46" s="5">
        <v>4</v>
      </c>
      <c r="R46" s="13">
        <f>$R$3/N46^2</f>
        <v>1177908.23404</v>
      </c>
      <c r="S46" s="7">
        <f>$S$2*0</f>
        <v>0</v>
      </c>
      <c r="T46" s="7">
        <f t="shared" si="23"/>
        <v>0</v>
      </c>
      <c r="U46" s="7">
        <v>-16</v>
      </c>
      <c r="V46" s="7">
        <f t="shared" si="24"/>
        <v>-93636</v>
      </c>
      <c r="W46" s="7">
        <f t="shared" si="20"/>
        <v>1084272.23404</v>
      </c>
      <c r="X46" s="8">
        <f t="shared" si="21"/>
        <v>369.3193202669683</v>
      </c>
      <c r="Y46" s="6">
        <v>392.09050999999999</v>
      </c>
      <c r="Z46" s="8">
        <f t="shared" si="22"/>
        <v>-5.807636031035714</v>
      </c>
    </row>
    <row r="47" spans="1:26" x14ac:dyDescent="0.25">
      <c r="A47" s="1">
        <v>6</v>
      </c>
      <c r="B47" s="1">
        <f t="shared" ref="B47:B48" si="25">A47*2</f>
        <v>12</v>
      </c>
      <c r="C47" t="s">
        <v>53</v>
      </c>
      <c r="E47" s="1">
        <v>6</v>
      </c>
      <c r="F47" s="1">
        <f t="shared" si="3"/>
        <v>6</v>
      </c>
      <c r="G47" t="s">
        <v>97</v>
      </c>
      <c r="H47" s="1">
        <v>1</v>
      </c>
      <c r="I47" s="1">
        <v>0</v>
      </c>
      <c r="J47" s="1" t="s">
        <v>57</v>
      </c>
      <c r="K47" s="5" t="s">
        <v>50</v>
      </c>
      <c r="M47" s="5">
        <v>1</v>
      </c>
      <c r="N47" s="5">
        <v>6</v>
      </c>
      <c r="O47" s="1">
        <v>0</v>
      </c>
      <c r="P47" s="5">
        <v>1</v>
      </c>
      <c r="Q47" s="5">
        <v>5</v>
      </c>
      <c r="R47" s="13">
        <f>$R$3/E47^2</f>
        <v>817991.82919444446</v>
      </c>
      <c r="S47" s="7">
        <f>$S$2*0</f>
        <v>0</v>
      </c>
      <c r="T47" s="7">
        <f t="shared" si="23"/>
        <v>0</v>
      </c>
      <c r="U47" s="7"/>
      <c r="V47" s="7">
        <f>$V$2*0</f>
        <v>0</v>
      </c>
      <c r="W47" s="7">
        <f t="shared" si="20"/>
        <v>817991.82919444446</v>
      </c>
      <c r="X47" s="8">
        <f t="shared" si="21"/>
        <v>489.54362399237476</v>
      </c>
      <c r="Y47" s="6">
        <v>489.99320778999999</v>
      </c>
      <c r="Z47" s="8">
        <f t="shared" si="22"/>
        <v>-9.1753067282905013E-2</v>
      </c>
    </row>
    <row r="48" spans="1:26" x14ac:dyDescent="0.25">
      <c r="A48" s="1">
        <v>6</v>
      </c>
      <c r="B48" s="1">
        <f t="shared" si="25"/>
        <v>12</v>
      </c>
      <c r="C48" t="s">
        <v>53</v>
      </c>
      <c r="E48" s="1">
        <v>6</v>
      </c>
      <c r="F48" s="1">
        <f t="shared" ref="F48" si="26">E48</f>
        <v>6</v>
      </c>
      <c r="G48" t="s">
        <v>92</v>
      </c>
      <c r="H48" s="1">
        <v>0</v>
      </c>
      <c r="I48" s="1">
        <v>0</v>
      </c>
      <c r="J48" s="1" t="s">
        <v>74</v>
      </c>
      <c r="M48" s="5">
        <v>1</v>
      </c>
      <c r="N48" s="5">
        <v>7</v>
      </c>
      <c r="O48" s="1">
        <v>0</v>
      </c>
      <c r="P48" s="5">
        <v>0</v>
      </c>
      <c r="Q48" s="5">
        <v>6</v>
      </c>
      <c r="S48" s="7"/>
      <c r="T48" s="7"/>
      <c r="U48" s="7"/>
      <c r="V48" s="7"/>
      <c r="W48" s="7"/>
      <c r="X48" s="8">
        <f>SUM(X42:X47)</f>
        <v>1005.8890878409918</v>
      </c>
      <c r="Y48" s="8">
        <f>SUM(Y42:Y47)</f>
        <v>1030.1084597900001</v>
      </c>
      <c r="Z48" s="8">
        <f t="shared" si="22"/>
        <v>-2.3511477571930337</v>
      </c>
    </row>
    <row r="50" spans="1:26" x14ac:dyDescent="0.25">
      <c r="A50" s="1">
        <v>7</v>
      </c>
      <c r="B50" s="1">
        <f>A50*2</f>
        <v>14</v>
      </c>
      <c r="C50" t="s">
        <v>55</v>
      </c>
      <c r="E50" s="1">
        <v>7</v>
      </c>
      <c r="F50" s="1">
        <f t="shared" si="3"/>
        <v>7</v>
      </c>
      <c r="G50" t="s">
        <v>54</v>
      </c>
      <c r="H50" s="1">
        <v>7</v>
      </c>
      <c r="I50" s="1">
        <v>0</v>
      </c>
      <c r="J50" s="5" t="s">
        <v>18</v>
      </c>
      <c r="M50" s="5">
        <v>1</v>
      </c>
      <c r="N50" s="5">
        <v>1</v>
      </c>
      <c r="O50" s="5">
        <v>2</v>
      </c>
      <c r="P50" s="5">
        <v>5</v>
      </c>
      <c r="Q50" s="5">
        <v>0</v>
      </c>
      <c r="R50" s="13">
        <f>$R$3</f>
        <v>29447705.851</v>
      </c>
      <c r="S50" s="7"/>
      <c r="T50" s="7"/>
      <c r="U50" s="7"/>
      <c r="V50" s="7"/>
      <c r="W50" s="7"/>
      <c r="X50" s="6"/>
      <c r="Y50" s="6"/>
    </row>
    <row r="51" spans="1:26" x14ac:dyDescent="0.25">
      <c r="A51" s="1">
        <v>7</v>
      </c>
      <c r="B51" s="1">
        <f t="shared" ref="B51:B56" si="27">A51*2</f>
        <v>14</v>
      </c>
      <c r="C51" t="s">
        <v>56</v>
      </c>
      <c r="E51" s="1">
        <v>7</v>
      </c>
      <c r="F51" s="1">
        <f t="shared" si="3"/>
        <v>7</v>
      </c>
      <c r="G51" t="s">
        <v>100</v>
      </c>
      <c r="H51" s="1">
        <v>7</v>
      </c>
      <c r="I51" s="1">
        <v>0</v>
      </c>
      <c r="J51" s="5" t="s">
        <v>12</v>
      </c>
      <c r="K51" s="5"/>
      <c r="M51" s="5">
        <v>1</v>
      </c>
      <c r="N51" s="5">
        <v>1</v>
      </c>
      <c r="O51" s="5">
        <v>2</v>
      </c>
      <c r="P51" s="5">
        <f t="shared" ref="P51" si="28">E51-O51</f>
        <v>5</v>
      </c>
      <c r="Q51" s="5">
        <v>0</v>
      </c>
      <c r="R51" s="13">
        <f>$R$3*O51</f>
        <v>58895411.702</v>
      </c>
      <c r="S51" s="13">
        <f>-$R50/2</f>
        <v>-14723852.9255</v>
      </c>
      <c r="T51" s="7">
        <f>-$E$2*($H$2)*11</f>
        <v>-16479936</v>
      </c>
      <c r="U51" s="7"/>
      <c r="V51" s="7">
        <f>$V$2*0</f>
        <v>0</v>
      </c>
      <c r="W51" s="7">
        <f t="shared" ref="W51:W57" si="29">SUM(R51:T51)+V51</f>
        <v>27691622.776500002</v>
      </c>
      <c r="X51" s="8">
        <f>$X$3/W51</f>
        <v>14.46078793185889</v>
      </c>
      <c r="Y51" s="6">
        <v>14.534129999999999</v>
      </c>
      <c r="Z51" s="8">
        <f t="shared" ref="Z51:Z58" si="30">(X51-Y51)/Y51*100</f>
        <v>-0.50461959636461895</v>
      </c>
    </row>
    <row r="52" spans="1:26" x14ac:dyDescent="0.25">
      <c r="A52" s="1">
        <v>7</v>
      </c>
      <c r="B52" s="1">
        <f t="shared" si="27"/>
        <v>14</v>
      </c>
      <c r="C52" t="s">
        <v>56</v>
      </c>
      <c r="E52" s="1">
        <v>7</v>
      </c>
      <c r="F52" s="1">
        <f t="shared" si="3"/>
        <v>7</v>
      </c>
      <c r="G52" t="s">
        <v>101</v>
      </c>
      <c r="H52" s="1">
        <v>6</v>
      </c>
      <c r="I52" s="1">
        <v>0</v>
      </c>
      <c r="J52" s="1" t="s">
        <v>6</v>
      </c>
      <c r="K52" s="5"/>
      <c r="M52" s="5">
        <v>1</v>
      </c>
      <c r="N52" s="5">
        <v>2</v>
      </c>
      <c r="O52" s="5">
        <v>2</v>
      </c>
      <c r="P52" s="5">
        <v>4</v>
      </c>
      <c r="Q52" s="5">
        <v>1</v>
      </c>
      <c r="R52" s="13">
        <f>$R$20/2</f>
        <v>14723852.9255</v>
      </c>
      <c r="S52" s="7">
        <f>$S$2*0</f>
        <v>0</v>
      </c>
      <c r="T52" s="7">
        <f>$T$2*0</f>
        <v>0</v>
      </c>
      <c r="U52" s="7">
        <v>-2</v>
      </c>
      <c r="V52" s="7">
        <f>$V$2/U52</f>
        <v>-749088</v>
      </c>
      <c r="W52" s="7">
        <f t="shared" si="29"/>
        <v>13974764.9255</v>
      </c>
      <c r="X52" s="8">
        <f t="shared" ref="X52:X57" si="31">$X$3/W52</f>
        <v>28.6546991376796</v>
      </c>
      <c r="Y52" s="6">
        <v>29.60125</v>
      </c>
      <c r="Z52" s="8">
        <f t="shared" si="30"/>
        <v>-3.1976719304772612</v>
      </c>
    </row>
    <row r="53" spans="1:26" x14ac:dyDescent="0.25">
      <c r="A53" s="1">
        <v>7</v>
      </c>
      <c r="B53" s="1">
        <f t="shared" si="27"/>
        <v>14</v>
      </c>
      <c r="C53" t="s">
        <v>56</v>
      </c>
      <c r="E53" s="1">
        <v>7</v>
      </c>
      <c r="F53" s="1">
        <f t="shared" si="3"/>
        <v>7</v>
      </c>
      <c r="G53" t="s">
        <v>102</v>
      </c>
      <c r="H53" s="1">
        <v>5</v>
      </c>
      <c r="I53" s="1">
        <v>0</v>
      </c>
      <c r="J53" s="1" t="s">
        <v>7</v>
      </c>
      <c r="K53" s="5"/>
      <c r="M53" s="5">
        <v>1</v>
      </c>
      <c r="N53" s="5">
        <v>3</v>
      </c>
      <c r="O53" s="5">
        <v>2</v>
      </c>
      <c r="P53" s="5">
        <v>3</v>
      </c>
      <c r="Q53" s="5">
        <v>2</v>
      </c>
      <c r="R53" s="13">
        <f>$R$20/2</f>
        <v>14723852.9255</v>
      </c>
      <c r="S53" s="7">
        <f>$S$2*4</f>
        <v>-5992704</v>
      </c>
      <c r="T53" s="7">
        <f t="shared" ref="T53:T57" si="32">$T$2*0</f>
        <v>0</v>
      </c>
      <c r="U53" s="7">
        <v>-7</v>
      </c>
      <c r="V53" s="7">
        <f t="shared" ref="V53:V56" si="33">$V$2/U53</f>
        <v>-214025.14285714287</v>
      </c>
      <c r="W53" s="7">
        <f t="shared" si="29"/>
        <v>8517123.7826428562</v>
      </c>
      <c r="X53" s="8">
        <f t="shared" si="31"/>
        <v>47.01618699919176</v>
      </c>
      <c r="Y53" s="6">
        <v>47.445300000000003</v>
      </c>
      <c r="Z53" s="8">
        <f t="shared" si="30"/>
        <v>-0.90443732215465655</v>
      </c>
    </row>
    <row r="54" spans="1:26" x14ac:dyDescent="0.25">
      <c r="A54" s="1">
        <v>7</v>
      </c>
      <c r="B54" s="1">
        <f t="shared" si="27"/>
        <v>14</v>
      </c>
      <c r="C54" t="s">
        <v>56</v>
      </c>
      <c r="E54" s="1">
        <v>7</v>
      </c>
      <c r="F54" s="1">
        <f t="shared" si="3"/>
        <v>7</v>
      </c>
      <c r="G54" t="s">
        <v>103</v>
      </c>
      <c r="H54" s="1">
        <v>4</v>
      </c>
      <c r="I54" s="1">
        <v>0</v>
      </c>
      <c r="J54" s="1" t="s">
        <v>8</v>
      </c>
      <c r="K54" s="5"/>
      <c r="M54" s="5">
        <v>1</v>
      </c>
      <c r="N54" s="5">
        <v>4</v>
      </c>
      <c r="O54" s="5">
        <v>2</v>
      </c>
      <c r="P54" s="5">
        <v>2</v>
      </c>
      <c r="Q54" s="5">
        <v>3</v>
      </c>
      <c r="R54" s="13">
        <f>$R$20/3</f>
        <v>9815901.9503333326</v>
      </c>
      <c r="S54" s="7">
        <f>$S$2*3</f>
        <v>-4494528</v>
      </c>
      <c r="T54" s="7">
        <f t="shared" si="32"/>
        <v>0</v>
      </c>
      <c r="U54" s="7">
        <v>-10</v>
      </c>
      <c r="V54" s="7">
        <f t="shared" si="33"/>
        <v>-149817.60000000001</v>
      </c>
      <c r="W54" s="7">
        <f t="shared" si="29"/>
        <v>5171556.350333333</v>
      </c>
      <c r="X54" s="8">
        <f t="shared" si="31"/>
        <v>77.431755033315923</v>
      </c>
      <c r="Y54" s="6">
        <v>77.473500000000001</v>
      </c>
      <c r="Z54" s="8">
        <f t="shared" si="30"/>
        <v>-5.3882897615414461E-2</v>
      </c>
    </row>
    <row r="55" spans="1:26" x14ac:dyDescent="0.25">
      <c r="A55" s="1">
        <v>7</v>
      </c>
      <c r="B55" s="1">
        <f t="shared" si="27"/>
        <v>14</v>
      </c>
      <c r="C55" t="s">
        <v>56</v>
      </c>
      <c r="E55" s="1">
        <v>7</v>
      </c>
      <c r="F55" s="1">
        <f t="shared" si="3"/>
        <v>7</v>
      </c>
      <c r="G55" t="s">
        <v>104</v>
      </c>
      <c r="H55" s="1">
        <v>3</v>
      </c>
      <c r="I55" s="1">
        <v>0</v>
      </c>
      <c r="J55" s="1" t="s">
        <v>9</v>
      </c>
      <c r="K55" s="5"/>
      <c r="M55" s="5">
        <v>1</v>
      </c>
      <c r="N55" s="5">
        <v>5</v>
      </c>
      <c r="O55" s="5">
        <v>2</v>
      </c>
      <c r="P55" s="5">
        <v>1</v>
      </c>
      <c r="Q55" s="5">
        <v>4</v>
      </c>
      <c r="R55" s="13">
        <f>$R$20/7</f>
        <v>4206815.1215714281</v>
      </c>
      <c r="S55" s="7">
        <f>$S$2*0</f>
        <v>0</v>
      </c>
      <c r="T55" s="7">
        <f t="shared" si="32"/>
        <v>0</v>
      </c>
      <c r="U55" s="7">
        <v>-14</v>
      </c>
      <c r="V55" s="7">
        <f t="shared" si="33"/>
        <v>-107012.57142857143</v>
      </c>
      <c r="W55" s="7">
        <f t="shared" si="29"/>
        <v>4099802.5501428568</v>
      </c>
      <c r="X55" s="8">
        <f t="shared" si="31"/>
        <v>97.673651245971982</v>
      </c>
      <c r="Y55" s="6">
        <v>97.890100000000004</v>
      </c>
      <c r="Z55" s="8">
        <f t="shared" si="30"/>
        <v>-0.22111403913983332</v>
      </c>
    </row>
    <row r="56" spans="1:26" x14ac:dyDescent="0.25">
      <c r="A56" s="1">
        <v>7</v>
      </c>
      <c r="B56" s="1">
        <f t="shared" si="27"/>
        <v>14</v>
      </c>
      <c r="C56" t="s">
        <v>56</v>
      </c>
      <c r="E56" s="1">
        <v>7</v>
      </c>
      <c r="F56" s="1">
        <f t="shared" si="3"/>
        <v>7</v>
      </c>
      <c r="G56" t="s">
        <v>106</v>
      </c>
      <c r="H56" s="1">
        <v>2</v>
      </c>
      <c r="I56" s="1">
        <v>0</v>
      </c>
      <c r="J56" s="1" t="s">
        <v>57</v>
      </c>
      <c r="M56" s="5">
        <v>1</v>
      </c>
      <c r="N56" s="5">
        <v>6</v>
      </c>
      <c r="O56" s="1">
        <v>1</v>
      </c>
      <c r="P56" s="5">
        <v>1</v>
      </c>
      <c r="Q56" s="5">
        <v>5</v>
      </c>
      <c r="R56" s="13">
        <f>$R$20/N56^2</f>
        <v>817991.82919444446</v>
      </c>
      <c r="S56" s="7">
        <f>$S$2*0</f>
        <v>0</v>
      </c>
      <c r="T56" s="7">
        <f t="shared" si="32"/>
        <v>0</v>
      </c>
      <c r="U56" s="7">
        <v>-25</v>
      </c>
      <c r="V56" s="7">
        <f t="shared" si="33"/>
        <v>-59927.040000000001</v>
      </c>
      <c r="W56" s="7">
        <f t="shared" si="29"/>
        <v>758064.78919444443</v>
      </c>
      <c r="X56" s="8">
        <f t="shared" si="31"/>
        <v>528.24335092193019</v>
      </c>
      <c r="Y56" s="6">
        <v>552.07180000000005</v>
      </c>
      <c r="Z56" s="8">
        <f t="shared" si="30"/>
        <v>-4.3161866043637556</v>
      </c>
    </row>
    <row r="57" spans="1:26" x14ac:dyDescent="0.25">
      <c r="A57" s="1">
        <v>7</v>
      </c>
      <c r="B57" s="1">
        <f t="shared" ref="B57" si="34">A57*2</f>
        <v>14</v>
      </c>
      <c r="C57" t="s">
        <v>56</v>
      </c>
      <c r="E57" s="1">
        <v>7</v>
      </c>
      <c r="F57" s="1">
        <f t="shared" si="3"/>
        <v>7</v>
      </c>
      <c r="G57" t="s">
        <v>105</v>
      </c>
      <c r="H57" s="1">
        <v>1</v>
      </c>
      <c r="I57" s="1">
        <v>0</v>
      </c>
      <c r="J57" s="1" t="s">
        <v>58</v>
      </c>
      <c r="K57" s="5" t="s">
        <v>50</v>
      </c>
      <c r="M57" s="5">
        <v>1</v>
      </c>
      <c r="N57" s="5">
        <v>7</v>
      </c>
      <c r="O57" s="1">
        <v>0</v>
      </c>
      <c r="P57" s="5">
        <v>1</v>
      </c>
      <c r="Q57" s="5">
        <v>6</v>
      </c>
      <c r="R57" s="13">
        <f>$R$20/E57^2</f>
        <v>600973.58879591839</v>
      </c>
      <c r="S57" s="7">
        <f>$S$2*0</f>
        <v>0</v>
      </c>
      <c r="T57" s="7">
        <f t="shared" si="32"/>
        <v>0</v>
      </c>
      <c r="U57" s="7"/>
      <c r="V57" s="7">
        <f>$V$2*0</f>
        <v>0</v>
      </c>
      <c r="W57" s="7">
        <f t="shared" si="29"/>
        <v>600973.58879591839</v>
      </c>
      <c r="X57" s="8">
        <f t="shared" si="31"/>
        <v>666.32326598962118</v>
      </c>
      <c r="Y57" s="6">
        <v>667.04600000000005</v>
      </c>
      <c r="Z57" s="8">
        <f t="shared" si="30"/>
        <v>-0.1083484512880479</v>
      </c>
    </row>
    <row r="58" spans="1:26" x14ac:dyDescent="0.25">
      <c r="A58" s="1">
        <v>7</v>
      </c>
      <c r="B58" s="1">
        <f t="shared" ref="B58" si="35">A58*2</f>
        <v>14</v>
      </c>
      <c r="C58" t="s">
        <v>56</v>
      </c>
      <c r="E58" s="1">
        <v>7</v>
      </c>
      <c r="F58" s="1">
        <f t="shared" ref="F58" si="36">E58</f>
        <v>7</v>
      </c>
      <c r="G58" t="s">
        <v>69</v>
      </c>
      <c r="H58" s="1">
        <v>0</v>
      </c>
      <c r="I58" s="1">
        <v>0</v>
      </c>
      <c r="J58" s="1" t="s">
        <v>74</v>
      </c>
      <c r="M58" s="5">
        <v>1</v>
      </c>
      <c r="N58" s="5">
        <v>8</v>
      </c>
      <c r="O58" s="1">
        <v>0</v>
      </c>
      <c r="P58" s="5">
        <v>0</v>
      </c>
      <c r="Q58" s="5">
        <v>7</v>
      </c>
      <c r="S58" s="7"/>
      <c r="T58" s="7"/>
      <c r="U58" s="7"/>
      <c r="V58" s="7"/>
      <c r="W58" s="7"/>
      <c r="X58" s="8">
        <f>SUM(X51:X57)</f>
        <v>1459.8036972595696</v>
      </c>
      <c r="Y58" s="8">
        <f>SUM(Y51:Y57)</f>
        <v>1486.0620800000002</v>
      </c>
      <c r="Z58" s="8">
        <f t="shared" si="30"/>
        <v>-1.7669775101475258</v>
      </c>
    </row>
    <row r="60" spans="1:26" x14ac:dyDescent="0.25">
      <c r="A60" s="1">
        <v>8</v>
      </c>
      <c r="B60" s="1">
        <f>A60*2</f>
        <v>16</v>
      </c>
      <c r="C60" t="s">
        <v>66</v>
      </c>
      <c r="E60" s="1">
        <v>8</v>
      </c>
      <c r="F60" s="1">
        <f t="shared" si="3"/>
        <v>8</v>
      </c>
      <c r="G60" t="s">
        <v>59</v>
      </c>
      <c r="H60" s="1">
        <v>8</v>
      </c>
      <c r="I60" s="1">
        <v>0</v>
      </c>
      <c r="J60" s="5" t="s">
        <v>18</v>
      </c>
      <c r="M60" s="5">
        <v>1</v>
      </c>
      <c r="N60" s="5">
        <v>1</v>
      </c>
      <c r="O60" s="5">
        <v>2</v>
      </c>
      <c r="P60" s="5">
        <v>6</v>
      </c>
      <c r="Q60" s="5">
        <v>0</v>
      </c>
      <c r="R60" s="13">
        <f>$R$3</f>
        <v>29447705.851</v>
      </c>
      <c r="S60" s="7"/>
      <c r="T60" s="7"/>
      <c r="U60" s="7"/>
      <c r="V60" s="7"/>
      <c r="W60" s="7"/>
      <c r="X60" s="6"/>
      <c r="Y60" s="6"/>
    </row>
    <row r="61" spans="1:26" x14ac:dyDescent="0.25">
      <c r="A61" s="1">
        <v>8</v>
      </c>
      <c r="B61" s="1">
        <f t="shared" ref="B61:B67" si="37">A61*2</f>
        <v>16</v>
      </c>
      <c r="C61" t="s">
        <v>67</v>
      </c>
      <c r="E61" s="1">
        <v>8</v>
      </c>
      <c r="F61" s="1">
        <f t="shared" si="3"/>
        <v>8</v>
      </c>
      <c r="G61" t="s">
        <v>107</v>
      </c>
      <c r="H61" s="1">
        <v>8</v>
      </c>
      <c r="I61" s="1">
        <v>0</v>
      </c>
      <c r="J61" s="5" t="s">
        <v>12</v>
      </c>
      <c r="K61" s="5"/>
      <c r="M61" s="5">
        <v>1</v>
      </c>
      <c r="N61" s="5">
        <v>1</v>
      </c>
      <c r="O61" s="5">
        <v>2</v>
      </c>
      <c r="P61" s="5">
        <f t="shared" ref="P61" si="38">E61-O61</f>
        <v>6</v>
      </c>
      <c r="Q61" s="5">
        <v>0</v>
      </c>
      <c r="R61" s="13">
        <f>$R$3*O61</f>
        <v>58895411.702</v>
      </c>
      <c r="S61" s="13">
        <f>-$R60/2</f>
        <v>-14723852.9255</v>
      </c>
      <c r="T61" s="7">
        <f>$E$2*($H$2)*-10</f>
        <v>-14981760</v>
      </c>
      <c r="U61" s="7"/>
      <c r="V61" s="7">
        <f>$V$2*0</f>
        <v>0</v>
      </c>
      <c r="W61" s="7">
        <f t="shared" ref="W61:W68" si="39">SUM(R61:T61)+V61</f>
        <v>29189798.776500002</v>
      </c>
      <c r="X61" s="8">
        <f>$X$3/W61</f>
        <v>13.718583246362995</v>
      </c>
      <c r="Y61" s="6">
        <v>13.61806</v>
      </c>
      <c r="Z61" s="8">
        <f t="shared" ref="Z61:Z69" si="40">(X61-Y61)/Y61*100</f>
        <v>0.73816128261290381</v>
      </c>
    </row>
    <row r="62" spans="1:26" x14ac:dyDescent="0.25">
      <c r="A62" s="1">
        <v>8</v>
      </c>
      <c r="B62" s="1">
        <f t="shared" si="37"/>
        <v>16</v>
      </c>
      <c r="C62" t="s">
        <v>67</v>
      </c>
      <c r="E62" s="1">
        <v>8</v>
      </c>
      <c r="F62" s="1">
        <f t="shared" si="3"/>
        <v>8</v>
      </c>
      <c r="G62" t="s">
        <v>60</v>
      </c>
      <c r="H62" s="1">
        <v>7</v>
      </c>
      <c r="I62" s="1">
        <v>0</v>
      </c>
      <c r="J62" s="1" t="s">
        <v>6</v>
      </c>
      <c r="K62" s="5"/>
      <c r="M62" s="5">
        <v>1</v>
      </c>
      <c r="N62" s="5">
        <v>2</v>
      </c>
      <c r="O62" s="5">
        <v>2</v>
      </c>
      <c r="P62" s="5">
        <v>5</v>
      </c>
      <c r="Q62" s="5">
        <v>1</v>
      </c>
      <c r="R62" s="13">
        <f>$R$20/2</f>
        <v>14723852.9255</v>
      </c>
      <c r="S62" s="7">
        <f>$S$2*2</f>
        <v>-2996352</v>
      </c>
      <c r="T62" s="7">
        <f t="shared" ref="T62:T68" si="41">$T$2*0</f>
        <v>0</v>
      </c>
      <c r="U62" s="7">
        <v>-5</v>
      </c>
      <c r="V62" s="7">
        <f t="shared" ref="V62:V67" si="42">$V$2/U62</f>
        <v>-299635.20000000001</v>
      </c>
      <c r="W62" s="7">
        <f t="shared" si="39"/>
        <v>11427865.725500001</v>
      </c>
      <c r="X62" s="8">
        <f t="shared" ref="X62:X68" si="43">$X$3/W62</f>
        <v>35.040898631356598</v>
      </c>
      <c r="Y62" s="6">
        <v>35.1173</v>
      </c>
      <c r="Z62" s="8">
        <f t="shared" si="40"/>
        <v>-0.21756048626575117</v>
      </c>
    </row>
    <row r="63" spans="1:26" x14ac:dyDescent="0.25">
      <c r="A63" s="1">
        <v>8</v>
      </c>
      <c r="B63" s="1">
        <f t="shared" si="37"/>
        <v>16</v>
      </c>
      <c r="C63" t="s">
        <v>67</v>
      </c>
      <c r="E63" s="1">
        <v>8</v>
      </c>
      <c r="F63" s="1">
        <f t="shared" si="3"/>
        <v>8</v>
      </c>
      <c r="G63" t="s">
        <v>61</v>
      </c>
      <c r="H63" s="1">
        <v>6</v>
      </c>
      <c r="I63" s="1">
        <v>0</v>
      </c>
      <c r="J63" s="1" t="s">
        <v>7</v>
      </c>
      <c r="K63" s="5"/>
      <c r="M63" s="5">
        <v>1</v>
      </c>
      <c r="N63" s="5">
        <v>3</v>
      </c>
      <c r="O63" s="5">
        <v>2</v>
      </c>
      <c r="P63" s="5">
        <v>4</v>
      </c>
      <c r="Q63" s="5">
        <v>2</v>
      </c>
      <c r="R63" s="13">
        <f>$R$20/2</f>
        <v>14723852.9255</v>
      </c>
      <c r="S63" s="7">
        <f>$S$2*4</f>
        <v>-5992704</v>
      </c>
      <c r="T63" s="7">
        <f t="shared" si="41"/>
        <v>0</v>
      </c>
      <c r="U63" s="7">
        <v>-2</v>
      </c>
      <c r="V63" s="7">
        <f t="shared" si="42"/>
        <v>-749088</v>
      </c>
      <c r="W63" s="7">
        <f t="shared" si="39"/>
        <v>7982060.9254999999</v>
      </c>
      <c r="X63" s="8">
        <f t="shared" si="43"/>
        <v>50.167831114984388</v>
      </c>
      <c r="Y63" s="6">
        <v>54.935540000000003</v>
      </c>
      <c r="Z63" s="8">
        <f t="shared" si="40"/>
        <v>-8.6787330842940928</v>
      </c>
    </row>
    <row r="64" spans="1:26" x14ac:dyDescent="0.25">
      <c r="A64" s="1">
        <v>8</v>
      </c>
      <c r="B64" s="1">
        <f t="shared" si="37"/>
        <v>16</v>
      </c>
      <c r="C64" t="s">
        <v>67</v>
      </c>
      <c r="E64" s="1">
        <v>8</v>
      </c>
      <c r="F64" s="1">
        <f t="shared" si="3"/>
        <v>8</v>
      </c>
      <c r="G64" t="s">
        <v>62</v>
      </c>
      <c r="H64" s="1">
        <v>5</v>
      </c>
      <c r="I64" s="1">
        <v>0</v>
      </c>
      <c r="J64" s="1" t="s">
        <v>8</v>
      </c>
      <c r="K64" s="5"/>
      <c r="M64" s="5">
        <v>1</v>
      </c>
      <c r="N64" s="5">
        <v>4</v>
      </c>
      <c r="O64" s="5">
        <v>2</v>
      </c>
      <c r="P64" s="5">
        <v>3</v>
      </c>
      <c r="Q64" s="5">
        <v>3</v>
      </c>
      <c r="R64" s="13">
        <f>$R$20/4</f>
        <v>7361926.4627499999</v>
      </c>
      <c r="S64" s="7">
        <f>$S$2*1</f>
        <v>-1498176</v>
      </c>
      <c r="T64" s="7">
        <f t="shared" si="41"/>
        <v>0</v>
      </c>
      <c r="U64" s="7">
        <v>-2</v>
      </c>
      <c r="V64" s="7">
        <f t="shared" si="42"/>
        <v>-749088</v>
      </c>
      <c r="W64" s="7">
        <f t="shared" si="39"/>
        <v>5114662.4627499999</v>
      </c>
      <c r="X64" s="8">
        <f t="shared" si="43"/>
        <v>78.293081386390057</v>
      </c>
      <c r="Y64" s="6">
        <v>77.413529999999994</v>
      </c>
      <c r="Z64" s="8">
        <f t="shared" si="40"/>
        <v>1.1361726902132772</v>
      </c>
    </row>
    <row r="65" spans="1:26" x14ac:dyDescent="0.25">
      <c r="A65" s="1">
        <v>8</v>
      </c>
      <c r="B65" s="1">
        <f t="shared" si="37"/>
        <v>16</v>
      </c>
      <c r="C65" t="s">
        <v>67</v>
      </c>
      <c r="E65" s="1">
        <v>8</v>
      </c>
      <c r="F65" s="1">
        <f t="shared" si="3"/>
        <v>8</v>
      </c>
      <c r="G65" t="s">
        <v>63</v>
      </c>
      <c r="H65" s="1">
        <v>4</v>
      </c>
      <c r="I65" s="1">
        <v>0</v>
      </c>
      <c r="J65" s="1" t="s">
        <v>9</v>
      </c>
      <c r="K65" s="5"/>
      <c r="M65" s="5">
        <v>1</v>
      </c>
      <c r="N65" s="5">
        <v>5</v>
      </c>
      <c r="O65" s="5">
        <v>2</v>
      </c>
      <c r="P65" s="5">
        <v>2</v>
      </c>
      <c r="Q65" s="5">
        <v>4</v>
      </c>
      <c r="R65" s="13">
        <f>$R$20/8</f>
        <v>3680963.231375</v>
      </c>
      <c r="S65" s="7">
        <f>$S$2*0</f>
        <v>0</v>
      </c>
      <c r="T65" s="7">
        <f t="shared" si="41"/>
        <v>0</v>
      </c>
      <c r="U65" s="7">
        <v>-9</v>
      </c>
      <c r="V65" s="7">
        <f t="shared" si="42"/>
        <v>-166464</v>
      </c>
      <c r="W65" s="7">
        <f t="shared" si="39"/>
        <v>3514499.231375</v>
      </c>
      <c r="X65" s="8">
        <f t="shared" si="43"/>
        <v>113.94018268239377</v>
      </c>
      <c r="Y65" s="6">
        <v>113.8989</v>
      </c>
      <c r="Z65" s="8">
        <f t="shared" si="40"/>
        <v>3.6245022905199827E-2</v>
      </c>
    </row>
    <row r="66" spans="1:26" x14ac:dyDescent="0.25">
      <c r="A66" s="1">
        <v>8</v>
      </c>
      <c r="B66" s="1">
        <f t="shared" si="37"/>
        <v>16</v>
      </c>
      <c r="C66" t="s">
        <v>67</v>
      </c>
      <c r="E66" s="1">
        <v>8</v>
      </c>
      <c r="F66" s="1">
        <f t="shared" si="3"/>
        <v>8</v>
      </c>
      <c r="G66" t="s">
        <v>64</v>
      </c>
      <c r="H66" s="1">
        <v>3</v>
      </c>
      <c r="I66" s="1">
        <v>0</v>
      </c>
      <c r="J66" s="1" t="s">
        <v>57</v>
      </c>
      <c r="K66" s="5"/>
      <c r="M66" s="5">
        <v>1</v>
      </c>
      <c r="N66" s="5">
        <v>6</v>
      </c>
      <c r="O66" s="1">
        <v>2</v>
      </c>
      <c r="P66" s="5">
        <v>1</v>
      </c>
      <c r="Q66" s="5">
        <v>5</v>
      </c>
      <c r="R66" s="13">
        <f>$R$20/10</f>
        <v>2944770.5850999998</v>
      </c>
      <c r="S66" s="7">
        <f>$S$2*0</f>
        <v>0</v>
      </c>
      <c r="T66" s="7">
        <f t="shared" si="41"/>
        <v>0</v>
      </c>
      <c r="U66" s="7">
        <v>-36</v>
      </c>
      <c r="V66" s="7">
        <f t="shared" si="42"/>
        <v>-41616</v>
      </c>
      <c r="W66" s="7">
        <f t="shared" si="39"/>
        <v>2903154.5850999998</v>
      </c>
      <c r="X66" s="8">
        <f t="shared" si="43"/>
        <v>137.93364174102587</v>
      </c>
      <c r="Y66" s="6">
        <v>138.1189</v>
      </c>
      <c r="Z66" s="8">
        <f t="shared" si="40"/>
        <v>-0.13412954995596568</v>
      </c>
    </row>
    <row r="67" spans="1:26" x14ac:dyDescent="0.25">
      <c r="A67" s="1">
        <v>8</v>
      </c>
      <c r="B67" s="1">
        <f t="shared" si="37"/>
        <v>16</v>
      </c>
      <c r="C67" t="s">
        <v>67</v>
      </c>
      <c r="E67" s="1">
        <v>8</v>
      </c>
      <c r="F67" s="1">
        <f t="shared" si="3"/>
        <v>8</v>
      </c>
      <c r="G67" t="s">
        <v>65</v>
      </c>
      <c r="H67" s="1">
        <v>2</v>
      </c>
      <c r="I67" s="1">
        <v>0</v>
      </c>
      <c r="J67" s="1" t="s">
        <v>58</v>
      </c>
      <c r="M67" s="5">
        <v>1</v>
      </c>
      <c r="N67" s="5">
        <v>7</v>
      </c>
      <c r="O67" s="1">
        <v>1</v>
      </c>
      <c r="P67" s="5">
        <v>1</v>
      </c>
      <c r="Q67" s="5">
        <v>6</v>
      </c>
      <c r="R67" s="13">
        <f>$R$20/N67^2</f>
        <v>600973.58879591839</v>
      </c>
      <c r="S67" s="7">
        <f>$S$2*0</f>
        <v>0</v>
      </c>
      <c r="T67" s="7">
        <f t="shared" si="41"/>
        <v>0</v>
      </c>
      <c r="U67" s="7">
        <v>-36</v>
      </c>
      <c r="V67" s="7">
        <f t="shared" si="42"/>
        <v>-41616</v>
      </c>
      <c r="W67" s="7">
        <f t="shared" si="39"/>
        <v>559357.58879591839</v>
      </c>
      <c r="X67" s="8">
        <f t="shared" si="43"/>
        <v>715.89747324604809</v>
      </c>
      <c r="Y67" s="6">
        <v>739.32680000000005</v>
      </c>
      <c r="Z67" s="8">
        <f t="shared" si="40"/>
        <v>-3.1690081779737937</v>
      </c>
    </row>
    <row r="68" spans="1:26" x14ac:dyDescent="0.25">
      <c r="A68" s="1">
        <v>8</v>
      </c>
      <c r="B68" s="1">
        <f t="shared" ref="B68" si="44">A68*2</f>
        <v>16</v>
      </c>
      <c r="C68" t="s">
        <v>67</v>
      </c>
      <c r="E68" s="1">
        <v>8</v>
      </c>
      <c r="F68" s="1">
        <f t="shared" si="3"/>
        <v>8</v>
      </c>
      <c r="G68" t="s">
        <v>70</v>
      </c>
      <c r="H68" s="1">
        <v>1</v>
      </c>
      <c r="I68" s="1">
        <v>0</v>
      </c>
      <c r="J68" s="1" t="s">
        <v>68</v>
      </c>
      <c r="K68" s="5" t="s">
        <v>50</v>
      </c>
      <c r="M68" s="5">
        <v>1</v>
      </c>
      <c r="N68" s="5">
        <v>8</v>
      </c>
      <c r="O68" s="5">
        <v>0</v>
      </c>
      <c r="P68" s="5">
        <v>1</v>
      </c>
      <c r="Q68" s="5">
        <v>7</v>
      </c>
      <c r="R68" s="13">
        <f>$R$20/E68^2</f>
        <v>460120.403921875</v>
      </c>
      <c r="S68" s="7">
        <f>$S$2*0</f>
        <v>0</v>
      </c>
      <c r="T68" s="7">
        <f t="shared" si="41"/>
        <v>0</v>
      </c>
      <c r="U68" s="7"/>
      <c r="V68" s="7">
        <f>$V$2*0</f>
        <v>0</v>
      </c>
      <c r="W68" s="7">
        <f t="shared" si="39"/>
        <v>460120.403921875</v>
      </c>
      <c r="X68" s="8">
        <f t="shared" si="43"/>
        <v>870.29977598644405</v>
      </c>
      <c r="Y68" s="6">
        <v>871.40989999999999</v>
      </c>
      <c r="Z68" s="8">
        <f t="shared" si="40"/>
        <v>-0.12739400981741733</v>
      </c>
    </row>
    <row r="69" spans="1:26" x14ac:dyDescent="0.25">
      <c r="A69" s="1">
        <v>8</v>
      </c>
      <c r="B69" s="1">
        <f t="shared" ref="B69" si="45">A69*2</f>
        <v>16</v>
      </c>
      <c r="C69" t="s">
        <v>67</v>
      </c>
      <c r="E69" s="1">
        <v>8</v>
      </c>
      <c r="F69" s="1">
        <f t="shared" ref="F69" si="46">E69</f>
        <v>8</v>
      </c>
      <c r="G69" t="s">
        <v>71</v>
      </c>
      <c r="H69" s="1">
        <v>0</v>
      </c>
      <c r="I69" s="1">
        <v>0</v>
      </c>
      <c r="J69" s="1" t="s">
        <v>74</v>
      </c>
      <c r="M69" s="5">
        <v>1</v>
      </c>
      <c r="N69" s="5">
        <v>8</v>
      </c>
      <c r="O69" s="5">
        <v>0</v>
      </c>
      <c r="P69" s="5">
        <v>0</v>
      </c>
      <c r="Q69" s="5">
        <v>8</v>
      </c>
      <c r="S69" s="7"/>
      <c r="T69" s="7"/>
      <c r="U69" s="7"/>
      <c r="V69" s="7"/>
      <c r="W69" s="7"/>
      <c r="X69" s="8">
        <f>SUM(X61:X68)</f>
        <v>2015.2914680350057</v>
      </c>
      <c r="Y69" s="8">
        <f>SUM(Y61:Y68)</f>
        <v>2043.8389299999999</v>
      </c>
      <c r="Z69" s="8">
        <f t="shared" si="40"/>
        <v>-1.396756933531657</v>
      </c>
    </row>
    <row r="71" spans="1:26" x14ac:dyDescent="0.25">
      <c r="A71" s="1">
        <v>9</v>
      </c>
      <c r="B71" s="1">
        <f>A71*2</f>
        <v>18</v>
      </c>
      <c r="C71" t="s">
        <v>118</v>
      </c>
      <c r="E71" s="1">
        <v>9</v>
      </c>
      <c r="F71" s="1">
        <f t="shared" ref="F71:F80" si="47">E71</f>
        <v>9</v>
      </c>
      <c r="G71" t="s">
        <v>108</v>
      </c>
      <c r="H71" s="1">
        <v>9</v>
      </c>
      <c r="I71" s="1">
        <v>0</v>
      </c>
      <c r="J71" s="5" t="s">
        <v>18</v>
      </c>
      <c r="M71" s="5">
        <v>1</v>
      </c>
      <c r="N71" s="5">
        <v>1</v>
      </c>
      <c r="O71" s="5">
        <v>2</v>
      </c>
      <c r="P71" s="5">
        <v>7</v>
      </c>
      <c r="Q71" s="5">
        <v>0</v>
      </c>
      <c r="R71" s="13">
        <f>$R$3</f>
        <v>29447705.851</v>
      </c>
      <c r="S71" s="7"/>
      <c r="T71" s="7"/>
      <c r="U71" s="7"/>
      <c r="V71" s="7"/>
      <c r="W71" s="7"/>
      <c r="X71" s="6"/>
      <c r="Y71" s="6"/>
    </row>
    <row r="72" spans="1:26" x14ac:dyDescent="0.25">
      <c r="A72" s="1">
        <v>9</v>
      </c>
      <c r="B72" s="1">
        <f t="shared" ref="B72:B80" si="48">A72*2</f>
        <v>18</v>
      </c>
      <c r="C72" t="s">
        <v>119</v>
      </c>
      <c r="E72" s="1">
        <v>9</v>
      </c>
      <c r="F72" s="1">
        <f t="shared" si="47"/>
        <v>9</v>
      </c>
      <c r="G72" t="s">
        <v>109</v>
      </c>
      <c r="H72" s="1">
        <v>9</v>
      </c>
      <c r="I72" s="1">
        <v>0</v>
      </c>
      <c r="J72" s="5" t="s">
        <v>12</v>
      </c>
      <c r="K72" s="5"/>
      <c r="M72" s="5">
        <v>1</v>
      </c>
      <c r="N72" s="5">
        <v>1</v>
      </c>
      <c r="O72" s="5">
        <v>2</v>
      </c>
      <c r="P72" s="5">
        <f t="shared" ref="P72" si="49">E72-O72</f>
        <v>7</v>
      </c>
      <c r="Q72" s="5">
        <v>0</v>
      </c>
      <c r="R72" s="13">
        <f>$R$3*O72</f>
        <v>58895411.702</v>
      </c>
      <c r="S72" s="13">
        <f>-$R71/2</f>
        <v>-14723852.9255</v>
      </c>
      <c r="T72" s="7">
        <f>$E$2*($H$2)*-14</f>
        <v>-20974464</v>
      </c>
      <c r="U72" s="7"/>
      <c r="V72" s="7">
        <f>$V$2*0</f>
        <v>0</v>
      </c>
      <c r="W72" s="7">
        <f t="shared" ref="W72:W80" si="50">SUM(R72:T72)+V72</f>
        <v>23197094.776500002</v>
      </c>
      <c r="X72" s="8">
        <f>$X$3/W72</f>
        <v>17.262622251544688</v>
      </c>
      <c r="Y72" s="6">
        <v>17.422899999999998</v>
      </c>
      <c r="Z72" s="8">
        <f t="shared" ref="Z72:Z81" si="51">(X72-Y72)/Y72*100</f>
        <v>-0.9199257784600201</v>
      </c>
    </row>
    <row r="73" spans="1:26" x14ac:dyDescent="0.25">
      <c r="A73" s="1">
        <v>9</v>
      </c>
      <c r="B73" s="1">
        <f t="shared" si="48"/>
        <v>18</v>
      </c>
      <c r="C73" t="s">
        <v>119</v>
      </c>
      <c r="E73" s="1">
        <v>9</v>
      </c>
      <c r="F73" s="1">
        <f t="shared" si="47"/>
        <v>9</v>
      </c>
      <c r="G73" t="s">
        <v>110</v>
      </c>
      <c r="H73" s="1">
        <v>8</v>
      </c>
      <c r="I73" s="1">
        <v>0</v>
      </c>
      <c r="J73" s="1" t="s">
        <v>6</v>
      </c>
      <c r="K73" s="5"/>
      <c r="M73" s="5">
        <v>1</v>
      </c>
      <c r="N73" s="5">
        <v>2</v>
      </c>
      <c r="O73" s="5">
        <v>2</v>
      </c>
      <c r="P73" s="5">
        <v>6</v>
      </c>
      <c r="Q73" s="5">
        <v>1</v>
      </c>
      <c r="R73" s="13">
        <f>$R$20/2</f>
        <v>14723852.9255</v>
      </c>
      <c r="S73" s="7">
        <f>$S$2*2</f>
        <v>-2996352</v>
      </c>
      <c r="T73" s="7">
        <f t="shared" ref="T73:T80" si="52">$T$2*0</f>
        <v>0</v>
      </c>
      <c r="U73" s="7">
        <v>-7</v>
      </c>
      <c r="V73" s="7">
        <f t="shared" ref="V73:V79" si="53">$V$2/U73</f>
        <v>-214025.14285714287</v>
      </c>
      <c r="W73" s="7">
        <f t="shared" si="50"/>
        <v>11513475.782642856</v>
      </c>
      <c r="X73" s="8">
        <f t="shared" ref="X73:X80" si="54">$X$3/W73</f>
        <v>34.780347135804767</v>
      </c>
      <c r="Y73" s="6">
        <v>34.970799999999997</v>
      </c>
      <c r="Z73" s="8">
        <f t="shared" si="51"/>
        <v>-0.54460539706048949</v>
      </c>
    </row>
    <row r="74" spans="1:26" x14ac:dyDescent="0.25">
      <c r="A74" s="1">
        <v>9</v>
      </c>
      <c r="B74" s="1">
        <f t="shared" si="48"/>
        <v>18</v>
      </c>
      <c r="C74" t="s">
        <v>119</v>
      </c>
      <c r="E74" s="1">
        <v>9</v>
      </c>
      <c r="F74" s="1">
        <f t="shared" si="47"/>
        <v>9</v>
      </c>
      <c r="G74" t="s">
        <v>111</v>
      </c>
      <c r="H74" s="1">
        <v>7</v>
      </c>
      <c r="I74" s="1">
        <v>0</v>
      </c>
      <c r="J74" s="1" t="s">
        <v>7</v>
      </c>
      <c r="K74" s="5"/>
      <c r="M74" s="5">
        <v>1</v>
      </c>
      <c r="N74" s="5">
        <v>3</v>
      </c>
      <c r="O74" s="5">
        <v>2</v>
      </c>
      <c r="P74" s="5">
        <v>5</v>
      </c>
      <c r="Q74" s="5">
        <v>2</v>
      </c>
      <c r="R74" s="13">
        <f>$R$20/2</f>
        <v>14723852.9255</v>
      </c>
      <c r="S74" s="7">
        <f>$S$2*5</f>
        <v>-7490880</v>
      </c>
      <c r="T74" s="7">
        <f t="shared" si="52"/>
        <v>0</v>
      </c>
      <c r="U74" s="7">
        <v>-2</v>
      </c>
      <c r="V74" s="7">
        <f t="shared" si="53"/>
        <v>-749088</v>
      </c>
      <c r="W74" s="7">
        <f t="shared" si="50"/>
        <v>6483884.9254999999</v>
      </c>
      <c r="X74" s="8">
        <f t="shared" si="54"/>
        <v>61.759684056872764</v>
      </c>
      <c r="Y74" s="6">
        <v>62.707999999999998</v>
      </c>
      <c r="Z74" s="8">
        <f t="shared" si="51"/>
        <v>-1.5122726655725491</v>
      </c>
    </row>
    <row r="75" spans="1:26" x14ac:dyDescent="0.25">
      <c r="A75" s="1">
        <v>9</v>
      </c>
      <c r="B75" s="1">
        <f t="shared" si="48"/>
        <v>18</v>
      </c>
      <c r="C75" t="s">
        <v>119</v>
      </c>
      <c r="E75" s="1">
        <v>9</v>
      </c>
      <c r="F75" s="1">
        <f t="shared" si="47"/>
        <v>9</v>
      </c>
      <c r="G75" t="s">
        <v>112</v>
      </c>
      <c r="H75" s="1">
        <v>6</v>
      </c>
      <c r="I75" s="1">
        <v>0</v>
      </c>
      <c r="J75" s="1" t="s">
        <v>8</v>
      </c>
      <c r="K75" s="5"/>
      <c r="M75" s="5">
        <v>1</v>
      </c>
      <c r="N75" s="5">
        <v>4</v>
      </c>
      <c r="O75" s="5">
        <v>2</v>
      </c>
      <c r="P75" s="5">
        <v>4</v>
      </c>
      <c r="Q75" s="5">
        <v>3</v>
      </c>
      <c r="R75" s="13">
        <f>$R$20/3</f>
        <v>9815901.9503333326</v>
      </c>
      <c r="S75" s="7">
        <f>$S$2*3</f>
        <v>-4494528</v>
      </c>
      <c r="T75" s="7">
        <f>$T$2*0</f>
        <v>0</v>
      </c>
      <c r="U75" s="7">
        <v>-2</v>
      </c>
      <c r="V75" s="7">
        <f t="shared" si="53"/>
        <v>-749088</v>
      </c>
      <c r="W75" s="7">
        <f t="shared" si="50"/>
        <v>4572285.9503333326</v>
      </c>
      <c r="X75" s="8">
        <f t="shared" si="54"/>
        <v>87.580411376240932</v>
      </c>
      <c r="Y75" s="6">
        <v>87.174999999999997</v>
      </c>
      <c r="Z75" s="8">
        <f t="shared" si="51"/>
        <v>0.46505463291188348</v>
      </c>
    </row>
    <row r="76" spans="1:26" x14ac:dyDescent="0.25">
      <c r="A76" s="1">
        <v>9</v>
      </c>
      <c r="B76" s="1">
        <f t="shared" si="48"/>
        <v>18</v>
      </c>
      <c r="C76" t="s">
        <v>119</v>
      </c>
      <c r="E76" s="1">
        <v>9</v>
      </c>
      <c r="F76" s="1">
        <f t="shared" si="47"/>
        <v>9</v>
      </c>
      <c r="G76" t="s">
        <v>113</v>
      </c>
      <c r="H76" s="1">
        <v>5</v>
      </c>
      <c r="I76" s="1">
        <v>0</v>
      </c>
      <c r="J76" s="1" t="s">
        <v>9</v>
      </c>
      <c r="K76" s="5"/>
      <c r="M76" s="5">
        <v>1</v>
      </c>
      <c r="N76" s="5">
        <v>5</v>
      </c>
      <c r="O76" s="5">
        <v>2</v>
      </c>
      <c r="P76" s="5">
        <v>3</v>
      </c>
      <c r="Q76" s="5">
        <v>4</v>
      </c>
      <c r="R76" s="13">
        <f>$R$20/8</f>
        <v>3680963.231375</v>
      </c>
      <c r="S76" s="7">
        <f>$S$2*0</f>
        <v>0</v>
      </c>
      <c r="T76" s="7">
        <f t="shared" si="52"/>
        <v>0</v>
      </c>
      <c r="U76" s="7">
        <v>-9</v>
      </c>
      <c r="V76" s="7">
        <f t="shared" si="53"/>
        <v>-166464</v>
      </c>
      <c r="W76" s="7">
        <f t="shared" si="50"/>
        <v>3514499.231375</v>
      </c>
      <c r="X76" s="8">
        <f t="shared" si="54"/>
        <v>113.94018268239377</v>
      </c>
      <c r="Y76" s="6">
        <v>114.24850000000001</v>
      </c>
      <c r="Z76" s="8">
        <f t="shared" si="51"/>
        <v>-0.26986552786797097</v>
      </c>
    </row>
    <row r="77" spans="1:26" x14ac:dyDescent="0.25">
      <c r="A77" s="1">
        <v>9</v>
      </c>
      <c r="B77" s="1">
        <f t="shared" si="48"/>
        <v>18</v>
      </c>
      <c r="C77" t="s">
        <v>119</v>
      </c>
      <c r="E77" s="1">
        <v>9</v>
      </c>
      <c r="F77" s="1">
        <f t="shared" si="47"/>
        <v>9</v>
      </c>
      <c r="G77" t="s">
        <v>114</v>
      </c>
      <c r="H77" s="1">
        <v>4</v>
      </c>
      <c r="I77" s="1">
        <v>0</v>
      </c>
      <c r="J77" s="1" t="s">
        <v>57</v>
      </c>
      <c r="K77" s="5"/>
      <c r="M77" s="5">
        <v>1</v>
      </c>
      <c r="N77" s="5">
        <v>6</v>
      </c>
      <c r="O77" s="1">
        <v>2</v>
      </c>
      <c r="P77" s="5">
        <v>2</v>
      </c>
      <c r="Q77" s="5">
        <v>5</v>
      </c>
      <c r="R77" s="13">
        <f>$R$20/10</f>
        <v>2944770.5850999998</v>
      </c>
      <c r="S77" s="7">
        <f>$S$2*0</f>
        <v>0</v>
      </c>
      <c r="T77" s="7">
        <f t="shared" si="52"/>
        <v>0</v>
      </c>
      <c r="U77" s="7">
        <v>-4</v>
      </c>
      <c r="V77" s="7">
        <f t="shared" si="53"/>
        <v>-374544</v>
      </c>
      <c r="W77" s="7">
        <f t="shared" si="50"/>
        <v>2570226.5850999998</v>
      </c>
      <c r="X77" s="8">
        <f t="shared" si="54"/>
        <v>155.80053789087236</v>
      </c>
      <c r="Y77" s="6">
        <v>157.1627</v>
      </c>
      <c r="Z77" s="8">
        <f t="shared" si="51"/>
        <v>-0.86672098985805035</v>
      </c>
    </row>
    <row r="78" spans="1:26" x14ac:dyDescent="0.25">
      <c r="A78" s="1">
        <v>9</v>
      </c>
      <c r="B78" s="1">
        <f t="shared" si="48"/>
        <v>18</v>
      </c>
      <c r="C78" t="s">
        <v>119</v>
      </c>
      <c r="E78" s="1">
        <v>9</v>
      </c>
      <c r="F78" s="1">
        <f t="shared" si="47"/>
        <v>9</v>
      </c>
      <c r="G78" t="s">
        <v>115</v>
      </c>
      <c r="H78" s="1">
        <v>3</v>
      </c>
      <c r="I78" s="1">
        <v>0</v>
      </c>
      <c r="J78" s="1" t="s">
        <v>58</v>
      </c>
      <c r="M78" s="5">
        <v>1</v>
      </c>
      <c r="N78" s="5">
        <v>7</v>
      </c>
      <c r="O78" s="1">
        <v>2</v>
      </c>
      <c r="P78" s="5">
        <v>1</v>
      </c>
      <c r="Q78" s="5">
        <v>6</v>
      </c>
      <c r="R78" s="13">
        <f>$R$20/13</f>
        <v>2265208.1423846153</v>
      </c>
      <c r="S78" s="7">
        <f>$S$2*0</f>
        <v>0</v>
      </c>
      <c r="T78" s="7">
        <f t="shared" si="52"/>
        <v>0</v>
      </c>
      <c r="U78" s="7">
        <v>-16</v>
      </c>
      <c r="V78" s="7">
        <f t="shared" si="53"/>
        <v>-93636</v>
      </c>
      <c r="W78" s="7">
        <f t="shared" si="50"/>
        <v>2171572.1423846153</v>
      </c>
      <c r="X78" s="8">
        <f t="shared" si="54"/>
        <v>184.40220181691578</v>
      </c>
      <c r="Y78" s="6">
        <v>185.1867</v>
      </c>
      <c r="Z78" s="8">
        <f t="shared" si="51"/>
        <v>-0.42362555360845261</v>
      </c>
    </row>
    <row r="79" spans="1:26" x14ac:dyDescent="0.25">
      <c r="A79" s="1">
        <v>9</v>
      </c>
      <c r="B79" s="1">
        <f t="shared" si="48"/>
        <v>18</v>
      </c>
      <c r="C79" t="s">
        <v>119</v>
      </c>
      <c r="E79" s="1">
        <v>9</v>
      </c>
      <c r="F79" s="1">
        <f t="shared" si="47"/>
        <v>9</v>
      </c>
      <c r="G79" t="s">
        <v>116</v>
      </c>
      <c r="H79" s="1">
        <v>2</v>
      </c>
      <c r="I79" s="1">
        <v>0</v>
      </c>
      <c r="J79" s="1" t="s">
        <v>68</v>
      </c>
      <c r="M79" s="5">
        <v>1</v>
      </c>
      <c r="N79" s="5">
        <v>8</v>
      </c>
      <c r="O79" s="5">
        <v>1</v>
      </c>
      <c r="P79" s="5">
        <v>1</v>
      </c>
      <c r="Q79" s="5">
        <v>7</v>
      </c>
      <c r="R79" s="13">
        <f>$R$20/N79^2</f>
        <v>460120.403921875</v>
      </c>
      <c r="S79" s="7">
        <f>$S$2*0</f>
        <v>0</v>
      </c>
      <c r="T79" s="7">
        <f t="shared" si="52"/>
        <v>0</v>
      </c>
      <c r="U79" s="7">
        <v>-36</v>
      </c>
      <c r="V79" s="7">
        <f t="shared" si="53"/>
        <v>-41616</v>
      </c>
      <c r="W79" s="7">
        <f t="shared" si="50"/>
        <v>418504.403921875</v>
      </c>
      <c r="X79" s="8">
        <f t="shared" si="54"/>
        <v>956.84222365973778</v>
      </c>
      <c r="Y79" s="6">
        <v>953.89729999999997</v>
      </c>
      <c r="Z79" s="8">
        <f t="shared" si="51"/>
        <v>0.30872544242842603</v>
      </c>
    </row>
    <row r="80" spans="1:26" x14ac:dyDescent="0.25">
      <c r="A80" s="1">
        <v>9</v>
      </c>
      <c r="B80" s="1">
        <f t="shared" si="48"/>
        <v>18</v>
      </c>
      <c r="C80" t="s">
        <v>119</v>
      </c>
      <c r="E80" s="1">
        <v>9</v>
      </c>
      <c r="F80" s="1">
        <f t="shared" si="47"/>
        <v>9</v>
      </c>
      <c r="G80" t="s">
        <v>117</v>
      </c>
      <c r="H80" s="1">
        <v>1</v>
      </c>
      <c r="I80" s="1">
        <v>0</v>
      </c>
      <c r="J80" s="1" t="s">
        <v>120</v>
      </c>
      <c r="K80" s="5" t="s">
        <v>50</v>
      </c>
      <c r="M80" s="5">
        <v>1</v>
      </c>
      <c r="N80" s="5">
        <v>9</v>
      </c>
      <c r="O80" s="5">
        <v>0</v>
      </c>
      <c r="P80" s="5">
        <v>1</v>
      </c>
      <c r="Q80" s="5">
        <v>8</v>
      </c>
      <c r="R80" s="13">
        <f>$R$20/E80^2</f>
        <v>363551.92408641975</v>
      </c>
      <c r="S80" s="7">
        <f>$S$2*0</f>
        <v>0</v>
      </c>
      <c r="T80" s="7">
        <f t="shared" si="52"/>
        <v>0</v>
      </c>
      <c r="U80" s="7"/>
      <c r="V80" s="7">
        <f>$V$2*0</f>
        <v>0</v>
      </c>
      <c r="W80" s="7">
        <f t="shared" si="50"/>
        <v>363551.92408641975</v>
      </c>
      <c r="X80" s="8">
        <f t="shared" si="54"/>
        <v>1101.4731539828433</v>
      </c>
      <c r="Y80" s="6">
        <v>1103.1210000000001</v>
      </c>
      <c r="Z80" s="8">
        <f t="shared" si="51"/>
        <v>-0.14938035058318899</v>
      </c>
    </row>
    <row r="81" spans="1:26" x14ac:dyDescent="0.25">
      <c r="A81" s="1">
        <v>9</v>
      </c>
      <c r="B81" s="1">
        <f t="shared" ref="B81" si="55">A81*2</f>
        <v>18</v>
      </c>
      <c r="C81" t="s">
        <v>119</v>
      </c>
      <c r="E81" s="1">
        <v>9</v>
      </c>
      <c r="F81" s="1">
        <f t="shared" ref="F81" si="56">E81</f>
        <v>9</v>
      </c>
      <c r="G81" t="s">
        <v>121</v>
      </c>
      <c r="H81" s="1">
        <v>0</v>
      </c>
      <c r="I81" s="1">
        <v>0</v>
      </c>
      <c r="J81" s="1" t="s">
        <v>74</v>
      </c>
      <c r="M81" s="5">
        <v>1</v>
      </c>
      <c r="N81" s="5">
        <v>9</v>
      </c>
      <c r="O81" s="5">
        <v>0</v>
      </c>
      <c r="P81" s="5">
        <v>0</v>
      </c>
      <c r="Q81" s="5">
        <v>9</v>
      </c>
      <c r="S81" s="7"/>
      <c r="T81" s="7"/>
      <c r="U81" s="7"/>
      <c r="V81" s="7"/>
      <c r="W81" s="7"/>
      <c r="X81" s="8">
        <f>SUM(X72:X80)</f>
        <v>2713.841364853226</v>
      </c>
      <c r="Y81" s="8">
        <f>SUM(Y72:Y80)</f>
        <v>2715.8928999999998</v>
      </c>
      <c r="Z81" s="8">
        <f t="shared" si="51"/>
        <v>-7.5538146101926856E-2</v>
      </c>
    </row>
    <row r="83" spans="1:26" x14ac:dyDescent="0.25">
      <c r="A83" s="1">
        <v>10</v>
      </c>
      <c r="B83" s="1">
        <f>A83*2</f>
        <v>20</v>
      </c>
      <c r="C83" t="s">
        <v>135</v>
      </c>
      <c r="E83" s="1">
        <v>10</v>
      </c>
      <c r="F83" s="1">
        <f t="shared" ref="F83:F93" si="57">E83</f>
        <v>10</v>
      </c>
      <c r="G83" t="s">
        <v>123</v>
      </c>
      <c r="H83" s="1">
        <v>10</v>
      </c>
      <c r="I83" s="1">
        <v>0</v>
      </c>
      <c r="J83" s="5" t="s">
        <v>18</v>
      </c>
      <c r="M83" s="5">
        <v>1</v>
      </c>
      <c r="N83" s="5">
        <v>1</v>
      </c>
      <c r="O83" s="5">
        <v>2</v>
      </c>
      <c r="P83" s="5">
        <v>8</v>
      </c>
      <c r="Q83" s="5">
        <v>0</v>
      </c>
      <c r="R83" s="13">
        <f>$R$3</f>
        <v>29447705.851</v>
      </c>
      <c r="S83" s="7"/>
      <c r="T83" s="7"/>
      <c r="U83" s="7"/>
      <c r="V83" s="7"/>
      <c r="W83" s="7"/>
      <c r="X83" s="6"/>
      <c r="Y83" s="6"/>
    </row>
    <row r="84" spans="1:26" x14ac:dyDescent="0.25">
      <c r="A84" s="1">
        <v>10</v>
      </c>
      <c r="B84" s="1">
        <f t="shared" ref="B84:B93" si="58">A84*2</f>
        <v>20</v>
      </c>
      <c r="C84" t="s">
        <v>136</v>
      </c>
      <c r="E84" s="1">
        <v>10</v>
      </c>
      <c r="F84" s="1">
        <f t="shared" si="57"/>
        <v>10</v>
      </c>
      <c r="G84" t="s">
        <v>124</v>
      </c>
      <c r="H84" s="1">
        <v>10</v>
      </c>
      <c r="I84" s="1">
        <v>0</v>
      </c>
      <c r="J84" s="5" t="s">
        <v>12</v>
      </c>
      <c r="K84" s="5"/>
      <c r="M84" s="5">
        <v>1</v>
      </c>
      <c r="N84" s="5">
        <v>1</v>
      </c>
      <c r="O84" s="5">
        <v>2</v>
      </c>
      <c r="P84" s="5">
        <f t="shared" ref="P84:P85" si="59">E84-O84</f>
        <v>8</v>
      </c>
      <c r="Q84" s="5">
        <v>0</v>
      </c>
      <c r="R84" s="13">
        <f>$R$3*O84</f>
        <v>58895411.702</v>
      </c>
      <c r="S84" s="13">
        <f>-$R83/2</f>
        <v>-14723852.9255</v>
      </c>
      <c r="T84" s="7">
        <f>$E$2*($H$2)*-17</f>
        <v>-25468992</v>
      </c>
      <c r="U84" s="7"/>
      <c r="V84" s="7">
        <f>$V$2*0</f>
        <v>0</v>
      </c>
      <c r="W84" s="7">
        <f t="shared" ref="W84:W93" si="60">SUM(R84:T84)+V84</f>
        <v>18702566.776500002</v>
      </c>
      <c r="X84" s="8">
        <f>$X$3/W84</f>
        <v>21.411108391986119</v>
      </c>
      <c r="Y84" s="6">
        <v>21.564499999999999</v>
      </c>
      <c r="Z84" s="8">
        <f t="shared" ref="Z84:Z94" si="61">(X84-Y84)/Y84*100</f>
        <v>-0.71131539341918515</v>
      </c>
    </row>
    <row r="85" spans="1:26" x14ac:dyDescent="0.25">
      <c r="A85" s="1">
        <v>10</v>
      </c>
      <c r="B85" s="1">
        <f t="shared" si="58"/>
        <v>20</v>
      </c>
      <c r="C85" t="s">
        <v>136</v>
      </c>
      <c r="E85" s="1">
        <v>10</v>
      </c>
      <c r="F85" s="1">
        <f t="shared" si="57"/>
        <v>10</v>
      </c>
      <c r="G85" t="s">
        <v>125</v>
      </c>
      <c r="H85" s="1">
        <v>9</v>
      </c>
      <c r="I85" s="1">
        <v>0</v>
      </c>
      <c r="J85" s="1" t="s">
        <v>6</v>
      </c>
      <c r="K85" s="5"/>
      <c r="M85" s="5">
        <v>1</v>
      </c>
      <c r="N85" s="5">
        <v>2</v>
      </c>
      <c r="O85" s="5">
        <v>2</v>
      </c>
      <c r="P85" s="5">
        <f t="shared" si="59"/>
        <v>8</v>
      </c>
      <c r="Q85" s="5">
        <v>1</v>
      </c>
      <c r="R85" s="13">
        <f>$R$20/2</f>
        <v>14723852.9255</v>
      </c>
      <c r="S85" s="7">
        <f>$S$2*3</f>
        <v>-4494528</v>
      </c>
      <c r="T85" s="7">
        <f t="shared" ref="T85:T93" si="62">$T$2*0</f>
        <v>0</v>
      </c>
      <c r="U85" s="7">
        <v>-4</v>
      </c>
      <c r="V85" s="7">
        <f t="shared" ref="V85:V92" si="63">$V$2/U85</f>
        <v>-374544</v>
      </c>
      <c r="W85" s="7">
        <f t="shared" si="60"/>
        <v>9854780.9254999999</v>
      </c>
      <c r="X85" s="8">
        <f t="shared" ref="X85:X93" si="64">$X$3/W85</f>
        <v>40.63435681495708</v>
      </c>
      <c r="Y85" s="6">
        <v>40.962899999999998</v>
      </c>
      <c r="Z85" s="8">
        <f t="shared" si="61"/>
        <v>-0.80205059954963565</v>
      </c>
    </row>
    <row r="86" spans="1:26" x14ac:dyDescent="0.25">
      <c r="A86" s="1">
        <v>10</v>
      </c>
      <c r="B86" s="1">
        <f t="shared" si="58"/>
        <v>20</v>
      </c>
      <c r="C86" t="s">
        <v>136</v>
      </c>
      <c r="E86" s="1">
        <v>10</v>
      </c>
      <c r="F86" s="1">
        <f t="shared" si="57"/>
        <v>10</v>
      </c>
      <c r="G86" t="s">
        <v>126</v>
      </c>
      <c r="H86" s="1">
        <v>8</v>
      </c>
      <c r="I86" s="1">
        <v>0</v>
      </c>
      <c r="J86" s="1" t="s">
        <v>7</v>
      </c>
      <c r="K86" s="5"/>
      <c r="M86" s="5">
        <v>1</v>
      </c>
      <c r="N86" s="5">
        <v>3</v>
      </c>
      <c r="O86" s="5">
        <v>2</v>
      </c>
      <c r="P86" s="5">
        <v>6</v>
      </c>
      <c r="Q86" s="5">
        <v>2</v>
      </c>
      <c r="R86" s="13">
        <f>$R$20/2</f>
        <v>14723852.9255</v>
      </c>
      <c r="S86" s="7">
        <f>$S$2*5</f>
        <v>-7490880</v>
      </c>
      <c r="T86" s="7">
        <f t="shared" si="62"/>
        <v>0</v>
      </c>
      <c r="U86" s="7">
        <v>-2</v>
      </c>
      <c r="V86" s="7">
        <f t="shared" si="63"/>
        <v>-749088</v>
      </c>
      <c r="W86" s="7">
        <f t="shared" si="60"/>
        <v>6483884.9254999999</v>
      </c>
      <c r="X86" s="8">
        <f t="shared" si="64"/>
        <v>61.759684056872764</v>
      </c>
      <c r="Y86" s="6">
        <v>63.423299999999998</v>
      </c>
      <c r="Z86" s="8">
        <f t="shared" si="61"/>
        <v>-2.6230359239068819</v>
      </c>
    </row>
    <row r="87" spans="1:26" x14ac:dyDescent="0.25">
      <c r="A87" s="1">
        <v>10</v>
      </c>
      <c r="B87" s="1">
        <f t="shared" si="58"/>
        <v>20</v>
      </c>
      <c r="C87" t="s">
        <v>136</v>
      </c>
      <c r="E87" s="1">
        <v>10</v>
      </c>
      <c r="F87" s="1">
        <f t="shared" si="57"/>
        <v>10</v>
      </c>
      <c r="G87" t="s">
        <v>127</v>
      </c>
      <c r="H87" s="1">
        <v>7</v>
      </c>
      <c r="I87" s="1">
        <v>0</v>
      </c>
      <c r="J87" s="1" t="s">
        <v>8</v>
      </c>
      <c r="K87" s="5"/>
      <c r="M87" s="5">
        <v>1</v>
      </c>
      <c r="N87" s="5">
        <v>4</v>
      </c>
      <c r="O87" s="5">
        <v>2</v>
      </c>
      <c r="P87" s="5">
        <v>5</v>
      </c>
      <c r="Q87" s="5">
        <v>3</v>
      </c>
      <c r="R87" s="13">
        <f>$R$20/4</f>
        <v>7361926.4627499999</v>
      </c>
      <c r="S87" s="7">
        <f>$S$2*2</f>
        <v>-2996352</v>
      </c>
      <c r="T87" s="7">
        <f t="shared" si="62"/>
        <v>0</v>
      </c>
      <c r="U87" s="7">
        <v>-6</v>
      </c>
      <c r="V87" s="7">
        <f t="shared" si="63"/>
        <v>-249696</v>
      </c>
      <c r="W87" s="7">
        <f t="shared" si="60"/>
        <v>4115878.4627499999</v>
      </c>
      <c r="X87" s="8">
        <f t="shared" si="64"/>
        <v>97.292154781569167</v>
      </c>
      <c r="Y87" s="6">
        <v>97.19</v>
      </c>
      <c r="Z87" s="8">
        <f t="shared" si="61"/>
        <v>0.1051083255161735</v>
      </c>
    </row>
    <row r="88" spans="1:26" x14ac:dyDescent="0.25">
      <c r="A88" s="1">
        <v>10</v>
      </c>
      <c r="B88" s="1">
        <f t="shared" si="58"/>
        <v>20</v>
      </c>
      <c r="C88" t="s">
        <v>136</v>
      </c>
      <c r="E88" s="1">
        <v>10</v>
      </c>
      <c r="F88" s="1">
        <f t="shared" si="57"/>
        <v>10</v>
      </c>
      <c r="G88" t="s">
        <v>128</v>
      </c>
      <c r="H88" s="1">
        <v>6</v>
      </c>
      <c r="I88" s="1">
        <v>0</v>
      </c>
      <c r="J88" s="1" t="s">
        <v>9</v>
      </c>
      <c r="K88" s="5"/>
      <c r="M88" s="5">
        <v>1</v>
      </c>
      <c r="N88" s="5">
        <v>5</v>
      </c>
      <c r="O88" s="5">
        <v>2</v>
      </c>
      <c r="P88" s="5">
        <v>4</v>
      </c>
      <c r="Q88" s="5">
        <v>4</v>
      </c>
      <c r="R88" s="13">
        <f>$R$20/8</f>
        <v>3680963.231375</v>
      </c>
      <c r="S88" s="7">
        <f t="shared" ref="S88:S93" si="65">$S$2*0</f>
        <v>0</v>
      </c>
      <c r="T88" s="7">
        <f t="shared" si="62"/>
        <v>0</v>
      </c>
      <c r="U88" s="7">
        <v>-3</v>
      </c>
      <c r="V88" s="7">
        <f t="shared" si="63"/>
        <v>-499392</v>
      </c>
      <c r="W88" s="7">
        <f t="shared" si="60"/>
        <v>3181571.231375</v>
      </c>
      <c r="X88" s="8">
        <f t="shared" si="64"/>
        <v>125.86318373482969</v>
      </c>
      <c r="Y88" s="6">
        <v>126.24720000000001</v>
      </c>
      <c r="Z88" s="8">
        <f t="shared" si="61"/>
        <v>-0.30417804527174991</v>
      </c>
    </row>
    <row r="89" spans="1:26" x14ac:dyDescent="0.25">
      <c r="A89" s="1">
        <v>10</v>
      </c>
      <c r="B89" s="1">
        <f t="shared" si="58"/>
        <v>20</v>
      </c>
      <c r="C89" t="s">
        <v>136</v>
      </c>
      <c r="E89" s="1">
        <v>10</v>
      </c>
      <c r="F89" s="1">
        <f t="shared" si="57"/>
        <v>10</v>
      </c>
      <c r="G89" t="s">
        <v>129</v>
      </c>
      <c r="H89" s="1">
        <v>5</v>
      </c>
      <c r="I89" s="1">
        <v>0</v>
      </c>
      <c r="J89" s="1" t="s">
        <v>57</v>
      </c>
      <c r="K89" s="5"/>
      <c r="M89" s="5">
        <v>1</v>
      </c>
      <c r="N89" s="5">
        <v>6</v>
      </c>
      <c r="O89" s="1">
        <v>2</v>
      </c>
      <c r="P89" s="5">
        <v>3</v>
      </c>
      <c r="Q89" s="5">
        <v>5</v>
      </c>
      <c r="R89" s="13">
        <f>$R$20/9</f>
        <v>3271967.3167777779</v>
      </c>
      <c r="S89" s="7">
        <f t="shared" si="65"/>
        <v>0</v>
      </c>
      <c r="T89" s="7">
        <f t="shared" si="62"/>
        <v>0</v>
      </c>
      <c r="U89" s="7">
        <v>-2</v>
      </c>
      <c r="V89" s="7">
        <f t="shared" si="63"/>
        <v>-749088</v>
      </c>
      <c r="W89" s="7">
        <f t="shared" si="60"/>
        <v>2522879.3167777779</v>
      </c>
      <c r="X89" s="8">
        <f t="shared" si="64"/>
        <v>158.72447080482846</v>
      </c>
      <c r="Y89" s="6">
        <v>157.93389999999999</v>
      </c>
      <c r="Z89" s="8">
        <f t="shared" si="61"/>
        <v>0.50057068484249578</v>
      </c>
    </row>
    <row r="90" spans="1:26" x14ac:dyDescent="0.25">
      <c r="A90" s="1">
        <v>10</v>
      </c>
      <c r="B90" s="1">
        <f t="shared" si="58"/>
        <v>20</v>
      </c>
      <c r="C90" t="s">
        <v>136</v>
      </c>
      <c r="E90" s="1">
        <v>10</v>
      </c>
      <c r="F90" s="1">
        <f t="shared" si="57"/>
        <v>10</v>
      </c>
      <c r="G90" t="s">
        <v>130</v>
      </c>
      <c r="H90" s="1">
        <v>4</v>
      </c>
      <c r="I90" s="1">
        <v>0</v>
      </c>
      <c r="J90" s="1" t="s">
        <v>58</v>
      </c>
      <c r="M90" s="5">
        <v>1</v>
      </c>
      <c r="N90" s="5">
        <v>7</v>
      </c>
      <c r="O90" s="1">
        <v>2</v>
      </c>
      <c r="P90" s="5">
        <v>2</v>
      </c>
      <c r="Q90" s="5">
        <v>6</v>
      </c>
      <c r="R90" s="13">
        <f>$R$20/12</f>
        <v>2453975.4875833332</v>
      </c>
      <c r="S90" s="7">
        <f t="shared" si="65"/>
        <v>0</v>
      </c>
      <c r="T90" s="7">
        <f t="shared" si="62"/>
        <v>0</v>
      </c>
      <c r="U90" s="7">
        <v>-3</v>
      </c>
      <c r="V90" s="7">
        <f t="shared" si="63"/>
        <v>-499392</v>
      </c>
      <c r="W90" s="7">
        <f t="shared" si="60"/>
        <v>1954583.4875833332</v>
      </c>
      <c r="X90" s="8">
        <f t="shared" si="64"/>
        <v>204.87366592619247</v>
      </c>
      <c r="Y90" s="6">
        <v>207.27090000000001</v>
      </c>
      <c r="Z90" s="8">
        <f t="shared" si="61"/>
        <v>-1.1565704948487889</v>
      </c>
    </row>
    <row r="91" spans="1:26" x14ac:dyDescent="0.25">
      <c r="A91" s="1">
        <v>10</v>
      </c>
      <c r="B91" s="1">
        <f t="shared" si="58"/>
        <v>20</v>
      </c>
      <c r="C91" t="s">
        <v>136</v>
      </c>
      <c r="E91" s="1">
        <v>10</v>
      </c>
      <c r="F91" s="1">
        <f t="shared" si="57"/>
        <v>10</v>
      </c>
      <c r="G91" t="s">
        <v>131</v>
      </c>
      <c r="H91" s="1">
        <v>3</v>
      </c>
      <c r="I91" s="1">
        <v>0</v>
      </c>
      <c r="J91" s="1" t="s">
        <v>68</v>
      </c>
      <c r="M91" s="5">
        <v>1</v>
      </c>
      <c r="N91" s="5">
        <v>8</v>
      </c>
      <c r="O91" s="5">
        <v>1</v>
      </c>
      <c r="P91" s="5">
        <v>2</v>
      </c>
      <c r="Q91" s="5">
        <v>7</v>
      </c>
      <c r="R91" s="13">
        <f>$R$20/16</f>
        <v>1840481.6156875</v>
      </c>
      <c r="S91" s="7">
        <f t="shared" si="65"/>
        <v>0</v>
      </c>
      <c r="T91" s="7">
        <f t="shared" si="62"/>
        <v>0</v>
      </c>
      <c r="U91" s="7">
        <v>-10</v>
      </c>
      <c r="V91" s="7">
        <f t="shared" si="63"/>
        <v>-149817.60000000001</v>
      </c>
      <c r="W91" s="7">
        <f t="shared" si="60"/>
        <v>1690664.0156874999</v>
      </c>
      <c r="X91" s="8">
        <f t="shared" si="64"/>
        <v>236.85527150535702</v>
      </c>
      <c r="Y91" s="6">
        <v>239.09639999999999</v>
      </c>
      <c r="Z91" s="8">
        <f t="shared" si="61"/>
        <v>-0.93733259666099722</v>
      </c>
    </row>
    <row r="92" spans="1:26" x14ac:dyDescent="0.25">
      <c r="A92" s="1">
        <v>10</v>
      </c>
      <c r="B92" s="1">
        <f t="shared" si="58"/>
        <v>20</v>
      </c>
      <c r="C92" t="s">
        <v>136</v>
      </c>
      <c r="E92" s="1">
        <v>10</v>
      </c>
      <c r="F92" s="1">
        <f t="shared" si="57"/>
        <v>10</v>
      </c>
      <c r="G92" t="s">
        <v>132</v>
      </c>
      <c r="H92" s="1">
        <v>2</v>
      </c>
      <c r="I92" s="1">
        <v>0</v>
      </c>
      <c r="J92" s="1" t="s">
        <v>120</v>
      </c>
      <c r="M92" s="5">
        <v>1</v>
      </c>
      <c r="N92" s="5">
        <v>9</v>
      </c>
      <c r="O92" s="5">
        <v>1</v>
      </c>
      <c r="P92" s="5">
        <v>1</v>
      </c>
      <c r="Q92" s="5">
        <v>8</v>
      </c>
      <c r="R92" s="13">
        <f>$R$20/N92^2</f>
        <v>363551.92408641975</v>
      </c>
      <c r="S92" s="7">
        <f t="shared" si="65"/>
        <v>0</v>
      </c>
      <c r="T92" s="7">
        <f t="shared" si="62"/>
        <v>0</v>
      </c>
      <c r="U92" s="7">
        <v>-49</v>
      </c>
      <c r="V92" s="7">
        <f t="shared" si="63"/>
        <v>-30575.020408163266</v>
      </c>
      <c r="W92" s="7">
        <f t="shared" si="60"/>
        <v>332976.90367825649</v>
      </c>
      <c r="X92" s="8">
        <f t="shared" si="64"/>
        <v>1202.6139952545575</v>
      </c>
      <c r="Y92" s="6">
        <v>1195.8087</v>
      </c>
      <c r="Z92" s="8">
        <f t="shared" si="61"/>
        <v>0.56909564669979817</v>
      </c>
    </row>
    <row r="93" spans="1:26" x14ac:dyDescent="0.25">
      <c r="A93" s="1">
        <v>10</v>
      </c>
      <c r="B93" s="1">
        <f t="shared" si="58"/>
        <v>20</v>
      </c>
      <c r="C93" t="s">
        <v>136</v>
      </c>
      <c r="E93" s="1">
        <v>10</v>
      </c>
      <c r="F93" s="1">
        <f t="shared" si="57"/>
        <v>10</v>
      </c>
      <c r="G93" t="s">
        <v>133</v>
      </c>
      <c r="H93" s="1">
        <v>1</v>
      </c>
      <c r="I93" s="1">
        <v>0</v>
      </c>
      <c r="J93" s="1" t="s">
        <v>122</v>
      </c>
      <c r="K93" s="5" t="s">
        <v>50</v>
      </c>
      <c r="M93" s="5">
        <v>1</v>
      </c>
      <c r="N93" s="5">
        <v>10</v>
      </c>
      <c r="O93" s="5">
        <v>0</v>
      </c>
      <c r="P93" s="5">
        <v>1</v>
      </c>
      <c r="Q93" s="5">
        <v>9</v>
      </c>
      <c r="R93" s="13">
        <f>$R$20/E93^2</f>
        <v>294477.05851</v>
      </c>
      <c r="S93" s="7">
        <f t="shared" si="65"/>
        <v>0</v>
      </c>
      <c r="T93" s="7">
        <f t="shared" si="62"/>
        <v>0</v>
      </c>
      <c r="U93" s="7"/>
      <c r="V93" s="7">
        <f>$V$2*0</f>
        <v>0</v>
      </c>
      <c r="W93" s="7">
        <f t="shared" si="60"/>
        <v>294477.05851</v>
      </c>
      <c r="X93" s="8">
        <f t="shared" si="64"/>
        <v>1359.8433999788188</v>
      </c>
      <c r="Y93" s="6">
        <v>1362.1967</v>
      </c>
      <c r="Z93" s="8">
        <f t="shared" si="61"/>
        <v>-0.17275772443004833</v>
      </c>
    </row>
    <row r="94" spans="1:26" x14ac:dyDescent="0.25">
      <c r="A94" s="1">
        <v>10</v>
      </c>
      <c r="B94" s="1">
        <f t="shared" ref="B94" si="66">A94*2</f>
        <v>20</v>
      </c>
      <c r="C94" t="s">
        <v>136</v>
      </c>
      <c r="E94" s="1">
        <v>10</v>
      </c>
      <c r="F94" s="1">
        <f t="shared" ref="F94" si="67">E94</f>
        <v>10</v>
      </c>
      <c r="G94" t="s">
        <v>134</v>
      </c>
      <c r="H94" s="1">
        <v>0</v>
      </c>
      <c r="I94" s="1">
        <v>0</v>
      </c>
      <c r="J94" s="1" t="s">
        <v>74</v>
      </c>
      <c r="M94" s="5">
        <v>1</v>
      </c>
      <c r="N94" s="5">
        <v>10</v>
      </c>
      <c r="O94" s="5">
        <v>0</v>
      </c>
      <c r="P94" s="5">
        <v>0</v>
      </c>
      <c r="Q94" s="5">
        <v>10</v>
      </c>
      <c r="S94" s="7"/>
      <c r="T94" s="7"/>
      <c r="U94" s="7"/>
      <c r="V94" s="7"/>
      <c r="W94" s="7"/>
      <c r="X94" s="8">
        <f>SUM(X84:X93)</f>
        <v>3509.8712912499686</v>
      </c>
      <c r="Y94" s="8">
        <f>SUM(Y84:Y93)</f>
        <v>3511.6945000000001</v>
      </c>
      <c r="Z94" s="8">
        <f t="shared" si="61"/>
        <v>-5.1918205015596498E-2</v>
      </c>
    </row>
  </sheetData>
  <phoneticPr fontId="1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glenn king</dc:creator>
  <cp:lastModifiedBy>GLENN KING</cp:lastModifiedBy>
  <dcterms:created xsi:type="dcterms:W3CDTF">2015-06-05T18:17:20Z</dcterms:created>
  <dcterms:modified xsi:type="dcterms:W3CDTF">2026-04-16T11:56:12Z</dcterms:modified>
</cp:coreProperties>
</file>